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ong\Documents\#2024 Mortgage\CRM - Social\"/>
    </mc:Choice>
  </mc:AlternateContent>
  <xr:revisionPtr revIDLastSave="0" documentId="8_{66BFEB04-6C6C-4D2D-B32D-7E0891E3E4C2}" xr6:coauthVersionLast="47" xr6:coauthVersionMax="47" xr10:uidLastSave="{00000000-0000-0000-0000-000000000000}"/>
  <bookViews>
    <workbookView xWindow="20370" yWindow="-120" windowWidth="29040" windowHeight="17640" tabRatio="500" xr2:uid="{00000000-000D-0000-FFFF-FFFF00000000}"/>
  </bookViews>
  <sheets>
    <sheet name="DSCR Calculator" sheetId="1" r:id="rId1"/>
    <sheet name="Amortization Schedule" sheetId="2" r:id="rId2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67" i="2" l="1"/>
  <c r="C366" i="2"/>
  <c r="B366" i="2"/>
  <c r="B365" i="2"/>
  <c r="B364" i="2"/>
  <c r="C364" i="2" s="1"/>
  <c r="C363" i="2"/>
  <c r="B363" i="2"/>
  <c r="C362" i="2"/>
  <c r="B362" i="2"/>
  <c r="C361" i="2"/>
  <c r="B361" i="2"/>
  <c r="B360" i="2"/>
  <c r="B359" i="2"/>
  <c r="C358" i="2"/>
  <c r="B358" i="2"/>
  <c r="B357" i="2"/>
  <c r="B356" i="2"/>
  <c r="C356" i="2" s="1"/>
  <c r="C355" i="2"/>
  <c r="B355" i="2"/>
  <c r="C354" i="2"/>
  <c r="B354" i="2"/>
  <c r="B353" i="2"/>
  <c r="B352" i="2"/>
  <c r="B351" i="2"/>
  <c r="C350" i="2"/>
  <c r="B350" i="2"/>
  <c r="B349" i="2"/>
  <c r="B348" i="2"/>
  <c r="C348" i="2" s="1"/>
  <c r="C347" i="2"/>
  <c r="B347" i="2"/>
  <c r="C346" i="2"/>
  <c r="B346" i="2"/>
  <c r="C345" i="2"/>
  <c r="B345" i="2"/>
  <c r="B344" i="2"/>
  <c r="B343" i="2"/>
  <c r="C342" i="2"/>
  <c r="B342" i="2"/>
  <c r="B341" i="2"/>
  <c r="B340" i="2"/>
  <c r="C340" i="2" s="1"/>
  <c r="C339" i="2"/>
  <c r="B339" i="2"/>
  <c r="C338" i="2"/>
  <c r="B338" i="2"/>
  <c r="C337" i="2"/>
  <c r="B337" i="2"/>
  <c r="B336" i="2"/>
  <c r="B335" i="2"/>
  <c r="C334" i="2"/>
  <c r="B334" i="2"/>
  <c r="B333" i="2"/>
  <c r="B332" i="2"/>
  <c r="C332" i="2" s="1"/>
  <c r="C331" i="2"/>
  <c r="B331" i="2"/>
  <c r="C330" i="2"/>
  <c r="B330" i="2"/>
  <c r="C329" i="2"/>
  <c r="B329" i="2"/>
  <c r="B328" i="2"/>
  <c r="B327" i="2"/>
  <c r="C326" i="2"/>
  <c r="B326" i="2"/>
  <c r="B325" i="2"/>
  <c r="B324" i="2"/>
  <c r="C324" i="2" s="1"/>
  <c r="C323" i="2"/>
  <c r="B323" i="2"/>
  <c r="C322" i="2"/>
  <c r="B322" i="2"/>
  <c r="C321" i="2"/>
  <c r="B321" i="2"/>
  <c r="B320" i="2"/>
  <c r="B319" i="2"/>
  <c r="C318" i="2"/>
  <c r="B318" i="2"/>
  <c r="B317" i="2"/>
  <c r="B316" i="2"/>
  <c r="C316" i="2" s="1"/>
  <c r="C315" i="2"/>
  <c r="B315" i="2"/>
  <c r="C314" i="2"/>
  <c r="B314" i="2"/>
  <c r="C313" i="2"/>
  <c r="B313" i="2"/>
  <c r="B312" i="2"/>
  <c r="B311" i="2"/>
  <c r="C310" i="2"/>
  <c r="B310" i="2"/>
  <c r="B309" i="2"/>
  <c r="B308" i="2"/>
  <c r="C308" i="2" s="1"/>
  <c r="C307" i="2"/>
  <c r="B307" i="2"/>
  <c r="B306" i="2"/>
  <c r="C305" i="2"/>
  <c r="B305" i="2"/>
  <c r="B304" i="2"/>
  <c r="B303" i="2"/>
  <c r="C302" i="2"/>
  <c r="B302" i="2"/>
  <c r="B301" i="2"/>
  <c r="B300" i="2"/>
  <c r="C300" i="2" s="1"/>
  <c r="C299" i="2"/>
  <c r="B299" i="2"/>
  <c r="C298" i="2"/>
  <c r="B298" i="2"/>
  <c r="C297" i="2"/>
  <c r="B297" i="2"/>
  <c r="C296" i="2"/>
  <c r="B296" i="2"/>
  <c r="B295" i="2"/>
  <c r="C294" i="2"/>
  <c r="B294" i="2"/>
  <c r="B293" i="2"/>
  <c r="B292" i="2"/>
  <c r="C292" i="2" s="1"/>
  <c r="C291" i="2"/>
  <c r="B291" i="2"/>
  <c r="B290" i="2"/>
  <c r="C289" i="2"/>
  <c r="B289" i="2"/>
  <c r="B288" i="2"/>
  <c r="B287" i="2"/>
  <c r="C286" i="2"/>
  <c r="B286" i="2"/>
  <c r="B285" i="2"/>
  <c r="B284" i="2"/>
  <c r="C284" i="2" s="1"/>
  <c r="C283" i="2"/>
  <c r="B283" i="2"/>
  <c r="B282" i="2"/>
  <c r="C281" i="2"/>
  <c r="B281" i="2"/>
  <c r="B280" i="2"/>
  <c r="C279" i="2"/>
  <c r="B279" i="2"/>
  <c r="B278" i="2"/>
  <c r="B277" i="2"/>
  <c r="B276" i="2"/>
  <c r="C276" i="2" s="1"/>
  <c r="C275" i="2"/>
  <c r="B275" i="2"/>
  <c r="C274" i="2"/>
  <c r="B274" i="2"/>
  <c r="B273" i="2"/>
  <c r="C272" i="2"/>
  <c r="B272" i="2"/>
  <c r="C271" i="2"/>
  <c r="B271" i="2"/>
  <c r="B270" i="2"/>
  <c r="B269" i="2"/>
  <c r="B268" i="2"/>
  <c r="C268" i="2" s="1"/>
  <c r="C267" i="2"/>
  <c r="B267" i="2"/>
  <c r="B266" i="2"/>
  <c r="C265" i="2"/>
  <c r="B265" i="2"/>
  <c r="B264" i="2"/>
  <c r="C263" i="2"/>
  <c r="B263" i="2"/>
  <c r="C262" i="2"/>
  <c r="B262" i="2"/>
  <c r="B261" i="2"/>
  <c r="B260" i="2"/>
  <c r="C260" i="2" s="1"/>
  <c r="C259" i="2"/>
  <c r="B259" i="2"/>
  <c r="C258" i="2"/>
  <c r="B258" i="2"/>
  <c r="C257" i="2"/>
  <c r="B257" i="2"/>
  <c r="B256" i="2"/>
  <c r="C255" i="2"/>
  <c r="B255" i="2"/>
  <c r="C254" i="2"/>
  <c r="B254" i="2"/>
  <c r="B253" i="2"/>
  <c r="C252" i="2"/>
  <c r="B252" i="2"/>
  <c r="B251" i="2"/>
  <c r="C250" i="2"/>
  <c r="B250" i="2"/>
  <c r="B249" i="2"/>
  <c r="C248" i="2"/>
  <c r="B248" i="2"/>
  <c r="C247" i="2"/>
  <c r="B247" i="2"/>
  <c r="B246" i="2"/>
  <c r="B245" i="2"/>
  <c r="B244" i="2"/>
  <c r="C243" i="2"/>
  <c r="B243" i="2"/>
  <c r="B242" i="2"/>
  <c r="B241" i="2"/>
  <c r="C240" i="2"/>
  <c r="B240" i="2"/>
  <c r="C239" i="2"/>
  <c r="B239" i="2"/>
  <c r="B238" i="2"/>
  <c r="B237" i="2"/>
  <c r="C236" i="2"/>
  <c r="B236" i="2"/>
  <c r="B235" i="2"/>
  <c r="C234" i="2"/>
  <c r="B234" i="2"/>
  <c r="B233" i="2"/>
  <c r="C233" i="2" s="1"/>
  <c r="C232" i="2"/>
  <c r="B232" i="2"/>
  <c r="C231" i="2"/>
  <c r="B231" i="2"/>
  <c r="B230" i="2"/>
  <c r="C229" i="2"/>
  <c r="B229" i="2"/>
  <c r="C228" i="2"/>
  <c r="B228" i="2"/>
  <c r="C227" i="2"/>
  <c r="B227" i="2"/>
  <c r="B226" i="2"/>
  <c r="B225" i="2"/>
  <c r="C225" i="2" s="1"/>
  <c r="C224" i="2"/>
  <c r="B224" i="2"/>
  <c r="C223" i="2"/>
  <c r="B223" i="2"/>
  <c r="C222" i="2"/>
  <c r="B222" i="2"/>
  <c r="B221" i="2"/>
  <c r="C220" i="2"/>
  <c r="B220" i="2"/>
  <c r="B219" i="2"/>
  <c r="C218" i="2"/>
  <c r="B218" i="2"/>
  <c r="C217" i="2"/>
  <c r="B217" i="2"/>
  <c r="C216" i="2"/>
  <c r="B216" i="2"/>
  <c r="C215" i="2"/>
  <c r="B215" i="2"/>
  <c r="C214" i="2"/>
  <c r="B214" i="2"/>
  <c r="B213" i="2"/>
  <c r="C212" i="2"/>
  <c r="B212" i="2"/>
  <c r="B211" i="2"/>
  <c r="C210" i="2"/>
  <c r="B210" i="2"/>
  <c r="C209" i="2"/>
  <c r="B209" i="2"/>
  <c r="B208" i="2"/>
  <c r="C207" i="2"/>
  <c r="B207" i="2"/>
  <c r="B206" i="2"/>
  <c r="B205" i="2"/>
  <c r="C204" i="2"/>
  <c r="B204" i="2"/>
  <c r="B203" i="2"/>
  <c r="C202" i="2"/>
  <c r="B202" i="2"/>
  <c r="B201" i="2"/>
  <c r="C200" i="2"/>
  <c r="B200" i="2"/>
  <c r="C199" i="2"/>
  <c r="B199" i="2"/>
  <c r="B198" i="2"/>
  <c r="B197" i="2"/>
  <c r="C196" i="2"/>
  <c r="B196" i="2"/>
  <c r="B195" i="2"/>
  <c r="C195" i="2" s="1"/>
  <c r="C194" i="2"/>
  <c r="B194" i="2"/>
  <c r="B193" i="2"/>
  <c r="B192" i="2"/>
  <c r="C191" i="2"/>
  <c r="B191" i="2"/>
  <c r="B190" i="2"/>
  <c r="B189" i="2"/>
  <c r="C188" i="2"/>
  <c r="B188" i="2"/>
  <c r="C187" i="2"/>
  <c r="B187" i="2"/>
  <c r="B186" i="2"/>
  <c r="C185" i="2"/>
  <c r="B185" i="2"/>
  <c r="B184" i="2"/>
  <c r="C183" i="2"/>
  <c r="B183" i="2"/>
  <c r="B182" i="2"/>
  <c r="B181" i="2"/>
  <c r="C181" i="2" s="1"/>
  <c r="C180" i="2"/>
  <c r="B180" i="2"/>
  <c r="B179" i="2"/>
  <c r="C178" i="2"/>
  <c r="B178" i="2"/>
  <c r="C177" i="2"/>
  <c r="B177" i="2"/>
  <c r="C176" i="2"/>
  <c r="B176" i="2"/>
  <c r="B175" i="2"/>
  <c r="C174" i="2"/>
  <c r="B174" i="2"/>
  <c r="B173" i="2"/>
  <c r="C172" i="2"/>
  <c r="B172" i="2"/>
  <c r="C171" i="2"/>
  <c r="B171" i="2"/>
  <c r="B170" i="2"/>
  <c r="C169" i="2"/>
  <c r="B169" i="2"/>
  <c r="C168" i="2"/>
  <c r="B168" i="2"/>
  <c r="C167" i="2"/>
  <c r="B167" i="2"/>
  <c r="B166" i="2"/>
  <c r="B165" i="2"/>
  <c r="B164" i="2"/>
  <c r="C164" i="2" s="1"/>
  <c r="C163" i="2"/>
  <c r="B163" i="2"/>
  <c r="C162" i="2"/>
  <c r="B162" i="2"/>
  <c r="C161" i="2"/>
  <c r="B161" i="2"/>
  <c r="B160" i="2"/>
  <c r="C159" i="2"/>
  <c r="B159" i="2"/>
  <c r="B158" i="2"/>
  <c r="B157" i="2"/>
  <c r="B156" i="2"/>
  <c r="C156" i="2" s="1"/>
  <c r="C155" i="2"/>
  <c r="B155" i="2"/>
  <c r="C154" i="2"/>
  <c r="B154" i="2"/>
  <c r="B153" i="2"/>
  <c r="B152" i="2"/>
  <c r="C151" i="2"/>
  <c r="B151" i="2"/>
  <c r="B150" i="2"/>
  <c r="B149" i="2"/>
  <c r="B148" i="2"/>
  <c r="C148" i="2" s="1"/>
  <c r="C147" i="2"/>
  <c r="B147" i="2"/>
  <c r="C146" i="2"/>
  <c r="B146" i="2"/>
  <c r="B145" i="2"/>
  <c r="B144" i="2"/>
  <c r="C143" i="2"/>
  <c r="B143" i="2"/>
  <c r="B142" i="2"/>
  <c r="B141" i="2"/>
  <c r="C140" i="2"/>
  <c r="B140" i="2"/>
  <c r="C139" i="2"/>
  <c r="B139" i="2"/>
  <c r="C138" i="2"/>
  <c r="B138" i="2"/>
  <c r="C137" i="2"/>
  <c r="B137" i="2"/>
  <c r="B136" i="2"/>
  <c r="C135" i="2"/>
  <c r="B135" i="2"/>
  <c r="B134" i="2"/>
  <c r="B133" i="2"/>
  <c r="C132" i="2"/>
  <c r="B132" i="2"/>
  <c r="C131" i="2"/>
  <c r="B131" i="2"/>
  <c r="C130" i="2"/>
  <c r="B130" i="2"/>
  <c r="B129" i="2"/>
  <c r="B128" i="2"/>
  <c r="C127" i="2"/>
  <c r="B127" i="2"/>
  <c r="B126" i="2"/>
  <c r="B125" i="2"/>
  <c r="C124" i="2"/>
  <c r="B124" i="2"/>
  <c r="C123" i="2"/>
  <c r="B123" i="2"/>
  <c r="C122" i="2"/>
  <c r="B122" i="2"/>
  <c r="B121" i="2"/>
  <c r="B120" i="2"/>
  <c r="C119" i="2"/>
  <c r="B119" i="2"/>
  <c r="B118" i="2"/>
  <c r="B117" i="2"/>
  <c r="C116" i="2"/>
  <c r="B116" i="2"/>
  <c r="C115" i="2"/>
  <c r="B115" i="2"/>
  <c r="B114" i="2"/>
  <c r="C113" i="2"/>
  <c r="B113" i="2"/>
  <c r="B112" i="2"/>
  <c r="C111" i="2"/>
  <c r="B111" i="2"/>
  <c r="C110" i="2"/>
  <c r="B110" i="2"/>
  <c r="B109" i="2"/>
  <c r="C108" i="2"/>
  <c r="B108" i="2"/>
  <c r="C107" i="2"/>
  <c r="B107" i="2"/>
  <c r="C106" i="2"/>
  <c r="B106" i="2"/>
  <c r="B105" i="2"/>
  <c r="B104" i="2"/>
  <c r="C103" i="2"/>
  <c r="B103" i="2"/>
  <c r="C102" i="2"/>
  <c r="B102" i="2"/>
  <c r="B101" i="2"/>
  <c r="C100" i="2"/>
  <c r="B100" i="2"/>
  <c r="B99" i="2"/>
  <c r="C98" i="2"/>
  <c r="B98" i="2"/>
  <c r="C97" i="2"/>
  <c r="B97" i="2"/>
  <c r="B96" i="2"/>
  <c r="C95" i="2"/>
  <c r="B95" i="2"/>
  <c r="B94" i="2"/>
  <c r="B93" i="2"/>
  <c r="C92" i="2"/>
  <c r="B92" i="2"/>
  <c r="B91" i="2"/>
  <c r="B90" i="2"/>
  <c r="B89" i="2"/>
  <c r="B88" i="2"/>
  <c r="C87" i="2"/>
  <c r="B87" i="2"/>
  <c r="C86" i="2"/>
  <c r="B86" i="2"/>
  <c r="B85" i="2"/>
  <c r="C84" i="2"/>
  <c r="B84" i="2"/>
  <c r="B83" i="2"/>
  <c r="C82" i="2"/>
  <c r="B82" i="2"/>
  <c r="C81" i="2"/>
  <c r="B81" i="2"/>
  <c r="B80" i="2"/>
  <c r="C79" i="2"/>
  <c r="B79" i="2"/>
  <c r="B78" i="2"/>
  <c r="B77" i="2"/>
  <c r="C76" i="2"/>
  <c r="B76" i="2"/>
  <c r="C75" i="2"/>
  <c r="B75" i="2"/>
  <c r="C74" i="2"/>
  <c r="B74" i="2"/>
  <c r="B73" i="2"/>
  <c r="B72" i="2"/>
  <c r="C71" i="2"/>
  <c r="B71" i="2"/>
  <c r="C70" i="2"/>
  <c r="B70" i="2"/>
  <c r="B69" i="2"/>
  <c r="C69" i="2" s="1"/>
  <c r="C68" i="2"/>
  <c r="B68" i="2"/>
  <c r="B67" i="2"/>
  <c r="B66" i="2"/>
  <c r="C65" i="2"/>
  <c r="B65" i="2"/>
  <c r="C64" i="2"/>
  <c r="B64" i="2"/>
  <c r="B63" i="2"/>
  <c r="C62" i="2"/>
  <c r="B62" i="2"/>
  <c r="B61" i="2"/>
  <c r="C61" i="2" s="1"/>
  <c r="C60" i="2"/>
  <c r="B60" i="2"/>
  <c r="C59" i="2"/>
  <c r="B59" i="2"/>
  <c r="B58" i="2"/>
  <c r="B57" i="2"/>
  <c r="C56" i="2"/>
  <c r="B56" i="2"/>
  <c r="C55" i="2"/>
  <c r="B55" i="2"/>
  <c r="B54" i="2"/>
  <c r="B53" i="2"/>
  <c r="C52" i="2"/>
  <c r="B52" i="2"/>
  <c r="B51" i="2"/>
  <c r="B50" i="2"/>
  <c r="C49" i="2"/>
  <c r="B49" i="2"/>
  <c r="C48" i="2"/>
  <c r="B48" i="2"/>
  <c r="C47" i="2"/>
  <c r="B47" i="2"/>
  <c r="C46" i="2"/>
  <c r="B46" i="2"/>
  <c r="B45" i="2"/>
  <c r="C44" i="2"/>
  <c r="B44" i="2"/>
  <c r="B43" i="2"/>
  <c r="B42" i="2"/>
  <c r="C41" i="2"/>
  <c r="B41" i="2"/>
  <c r="C40" i="2"/>
  <c r="B40" i="2"/>
  <c r="C39" i="2"/>
  <c r="B39" i="2"/>
  <c r="C38" i="2"/>
  <c r="B38" i="2"/>
  <c r="B37" i="2"/>
  <c r="C36" i="2"/>
  <c r="B36" i="2"/>
  <c r="B35" i="2"/>
  <c r="B34" i="2"/>
  <c r="C33" i="2"/>
  <c r="B33" i="2"/>
  <c r="B32" i="2"/>
  <c r="B31" i="2"/>
  <c r="C31" i="2" s="1"/>
  <c r="B30" i="2"/>
  <c r="B29" i="2"/>
  <c r="C28" i="2"/>
  <c r="B28" i="2"/>
  <c r="C27" i="2"/>
  <c r="B27" i="2"/>
  <c r="B26" i="2"/>
  <c r="C25" i="2"/>
  <c r="B25" i="2"/>
  <c r="B24" i="2"/>
  <c r="C23" i="2"/>
  <c r="B23" i="2"/>
  <c r="C22" i="2"/>
  <c r="B22" i="2"/>
  <c r="B21" i="2"/>
  <c r="C20" i="2"/>
  <c r="B20" i="2"/>
  <c r="B19" i="2"/>
  <c r="B18" i="2"/>
  <c r="C17" i="2"/>
  <c r="B17" i="2"/>
  <c r="B16" i="2"/>
  <c r="B15" i="2"/>
  <c r="B14" i="2"/>
  <c r="B13" i="2"/>
  <c r="C12" i="2"/>
  <c r="B12" i="2"/>
  <c r="C11" i="2"/>
  <c r="B11" i="2"/>
  <c r="B10" i="2"/>
  <c r="C9" i="2"/>
  <c r="B9" i="2"/>
  <c r="B8" i="2"/>
  <c r="G4" i="2"/>
  <c r="E4" i="2"/>
  <c r="C26" i="1"/>
  <c r="C19" i="1"/>
  <c r="C20" i="1" s="1"/>
  <c r="C14" i="1"/>
  <c r="C9" i="1"/>
  <c r="C4" i="2" s="1"/>
  <c r="C26" i="2" l="1"/>
  <c r="C29" i="2"/>
  <c r="C32" i="2"/>
  <c r="C35" i="2"/>
  <c r="C85" i="2"/>
  <c r="C104" i="2"/>
  <c r="C145" i="2"/>
  <c r="C264" i="2"/>
  <c r="C269" i="2"/>
  <c r="C109" i="2"/>
  <c r="C112" i="2"/>
  <c r="C193" i="2"/>
  <c r="C13" i="2"/>
  <c r="C16" i="2"/>
  <c r="C42" i="2"/>
  <c r="C58" i="2"/>
  <c r="C19" i="2"/>
  <c r="C37" i="2"/>
  <c r="C54" i="2"/>
  <c r="C66" i="2"/>
  <c r="C78" i="2"/>
  <c r="C91" i="2"/>
  <c r="C128" i="2"/>
  <c r="C186" i="2"/>
  <c r="C94" i="2"/>
  <c r="F8" i="2"/>
  <c r="C67" i="2"/>
  <c r="C125" i="2"/>
  <c r="C230" i="2"/>
  <c r="C10" i="2"/>
  <c r="C90" i="2"/>
  <c r="C50" i="2"/>
  <c r="C88" i="2"/>
  <c r="C23" i="1"/>
  <c r="C15" i="2"/>
  <c r="C18" i="2"/>
  <c r="C34" i="2"/>
  <c r="C45" i="2"/>
  <c r="C8" i="2"/>
  <c r="C21" i="2"/>
  <c r="C24" i="2"/>
  <c r="C43" i="2"/>
  <c r="C63" i="2"/>
  <c r="C114" i="2"/>
  <c r="C136" i="2"/>
  <c r="C77" i="2"/>
  <c r="D8" i="2"/>
  <c r="E8" i="2" s="1"/>
  <c r="G8" i="2" s="1"/>
  <c r="C53" i="2"/>
  <c r="C126" i="2"/>
  <c r="C206" i="2"/>
  <c r="C249" i="2"/>
  <c r="C278" i="2"/>
  <c r="C142" i="2"/>
  <c r="C14" i="2"/>
  <c r="C30" i="2"/>
  <c r="C51" i="2"/>
  <c r="C57" i="2"/>
  <c r="C72" i="2"/>
  <c r="C101" i="2"/>
  <c r="C120" i="2"/>
  <c r="C173" i="2"/>
  <c r="C192" i="2"/>
  <c r="C245" i="2"/>
  <c r="C117" i="2"/>
  <c r="C152" i="2"/>
  <c r="C166" i="2"/>
  <c r="C190" i="2"/>
  <c r="C93" i="2"/>
  <c r="C150" i="2"/>
  <c r="C80" i="2"/>
  <c r="C83" i="2"/>
  <c r="C96" i="2"/>
  <c r="C99" i="2"/>
  <c r="C121" i="2"/>
  <c r="C134" i="2"/>
  <c r="C153" i="2"/>
  <c r="C160" i="2"/>
  <c r="C221" i="2"/>
  <c r="C197" i="2"/>
  <c r="C306" i="2"/>
  <c r="C73" i="2"/>
  <c r="C89" i="2"/>
  <c r="C105" i="2"/>
  <c r="C118" i="2"/>
  <c r="C129" i="2"/>
  <c r="C144" i="2"/>
  <c r="C158" i="2"/>
  <c r="C182" i="2"/>
  <c r="C203" i="2"/>
  <c r="C208" i="2"/>
  <c r="C219" i="2"/>
  <c r="C244" i="2"/>
  <c r="C189" i="2"/>
  <c r="C205" i="2"/>
  <c r="C211" i="2"/>
  <c r="C237" i="2"/>
  <c r="C242" i="2"/>
  <c r="C287" i="2"/>
  <c r="C133" i="2"/>
  <c r="C141" i="2"/>
  <c r="C149" i="2"/>
  <c r="C157" i="2"/>
  <c r="C165" i="2"/>
  <c r="C170" i="2"/>
  <c r="C175" i="2"/>
  <c r="C179" i="2"/>
  <c r="C184" i="2"/>
  <c r="C201" i="2"/>
  <c r="C280" i="2"/>
  <c r="C198" i="2"/>
  <c r="C213" i="2"/>
  <c r="C226" i="2"/>
  <c r="C235" i="2"/>
  <c r="C238" i="2"/>
  <c r="C251" i="2"/>
  <c r="C241" i="2"/>
  <c r="C246" i="2"/>
  <c r="C253" i="2"/>
  <c r="C256" i="2"/>
  <c r="C349" i="2"/>
  <c r="C352" i="2"/>
  <c r="C261" i="2"/>
  <c r="C277" i="2"/>
  <c r="C293" i="2"/>
  <c r="C304" i="2"/>
  <c r="C312" i="2"/>
  <c r="C320" i="2"/>
  <c r="C328" i="2"/>
  <c r="C336" i="2"/>
  <c r="C357" i="2"/>
  <c r="C273" i="2"/>
  <c r="C288" i="2"/>
  <c r="C290" i="2"/>
  <c r="C266" i="2"/>
  <c r="C270" i="2"/>
  <c r="C282" i="2"/>
  <c r="C285" i="2"/>
  <c r="C295" i="2"/>
  <c r="C341" i="2"/>
  <c r="C353" i="2"/>
  <c r="C360" i="2"/>
  <c r="C301" i="2"/>
  <c r="C309" i="2"/>
  <c r="C317" i="2"/>
  <c r="C325" i="2"/>
  <c r="C333" i="2"/>
  <c r="C365" i="2"/>
  <c r="C344" i="2"/>
  <c r="C303" i="2"/>
  <c r="C311" i="2"/>
  <c r="C319" i="2"/>
  <c r="C327" i="2"/>
  <c r="C335" i="2"/>
  <c r="C343" i="2"/>
  <c r="C351" i="2"/>
  <c r="C359" i="2"/>
  <c r="C367" i="2"/>
  <c r="H8" i="2" l="1"/>
  <c r="D9" i="2" s="1"/>
  <c r="J4" i="2"/>
  <c r="C24" i="1"/>
  <c r="C27" i="1" l="1"/>
  <c r="B30" i="1" s="1"/>
  <c r="D30" i="1" s="1"/>
  <c r="C25" i="1"/>
  <c r="F9" i="2"/>
  <c r="E9" i="2"/>
  <c r="G9" i="2" s="1"/>
  <c r="H9" i="2" s="1"/>
  <c r="D10" i="2" s="1"/>
  <c r="E10" i="2" l="1"/>
  <c r="G10" i="2" s="1"/>
  <c r="H10" i="2" s="1"/>
  <c r="D11" i="2" s="1"/>
  <c r="F10" i="2"/>
  <c r="F11" i="2" l="1"/>
  <c r="E11" i="2" s="1"/>
  <c r="G11" i="2" s="1"/>
  <c r="H11" i="2" s="1"/>
  <c r="D12" i="2" s="1"/>
  <c r="F12" i="2" l="1"/>
  <c r="E12" i="2" s="1"/>
  <c r="G12" i="2" s="1"/>
  <c r="H12" i="2" s="1"/>
  <c r="D13" i="2" s="1"/>
  <c r="E13" i="2" l="1"/>
  <c r="G13" i="2" s="1"/>
  <c r="H13" i="2" s="1"/>
  <c r="D14" i="2" s="1"/>
  <c r="F13" i="2"/>
  <c r="F14" i="2" l="1"/>
  <c r="E14" i="2" s="1"/>
  <c r="G14" i="2" s="1"/>
  <c r="H14" i="2" s="1"/>
  <c r="D15" i="2" s="1"/>
  <c r="F15" i="2" l="1"/>
  <c r="E15" i="2"/>
  <c r="G15" i="2" s="1"/>
  <c r="H15" i="2" s="1"/>
  <c r="D16" i="2" s="1"/>
  <c r="F16" i="2" l="1"/>
  <c r="E16" i="2" s="1"/>
  <c r="G16" i="2" s="1"/>
  <c r="H16" i="2" s="1"/>
  <c r="D17" i="2" s="1"/>
  <c r="F17" i="2" l="1"/>
  <c r="E17" i="2" s="1"/>
  <c r="G17" i="2" s="1"/>
  <c r="H17" i="2" s="1"/>
  <c r="D18" i="2" s="1"/>
  <c r="F18" i="2" l="1"/>
  <c r="E18" i="2" s="1"/>
  <c r="G18" i="2" s="1"/>
  <c r="H18" i="2" s="1"/>
  <c r="D19" i="2" s="1"/>
  <c r="F19" i="2" l="1"/>
  <c r="E19" i="2" s="1"/>
  <c r="G19" i="2" s="1"/>
  <c r="H19" i="2" s="1"/>
  <c r="D20" i="2" s="1"/>
  <c r="F20" i="2" l="1"/>
  <c r="E20" i="2" s="1"/>
  <c r="G20" i="2" s="1"/>
  <c r="H20" i="2" s="1"/>
  <c r="D21" i="2" s="1"/>
  <c r="E21" i="2" l="1"/>
  <c r="G21" i="2" s="1"/>
  <c r="H21" i="2" s="1"/>
  <c r="D22" i="2" s="1"/>
  <c r="F21" i="2"/>
  <c r="F22" i="2" l="1"/>
  <c r="E22" i="2" s="1"/>
  <c r="G22" i="2" s="1"/>
  <c r="H22" i="2" s="1"/>
  <c r="D23" i="2" s="1"/>
  <c r="F23" i="2" l="1"/>
  <c r="E23" i="2" s="1"/>
  <c r="G23" i="2" s="1"/>
  <c r="H23" i="2" s="1"/>
  <c r="D24" i="2" s="1"/>
  <c r="F24" i="2" l="1"/>
  <c r="E24" i="2" s="1"/>
  <c r="G24" i="2" s="1"/>
  <c r="H24" i="2" s="1"/>
  <c r="D25" i="2" s="1"/>
  <c r="F25" i="2" l="1"/>
  <c r="E25" i="2"/>
  <c r="G25" i="2" s="1"/>
  <c r="H25" i="2" s="1"/>
  <c r="D26" i="2" s="1"/>
  <c r="F26" i="2" l="1"/>
  <c r="E26" i="2" s="1"/>
  <c r="G26" i="2" s="1"/>
  <c r="H26" i="2" s="1"/>
  <c r="D27" i="2" s="1"/>
  <c r="F27" i="2" l="1"/>
  <c r="E27" i="2"/>
  <c r="G27" i="2" s="1"/>
  <c r="H27" i="2" s="1"/>
  <c r="D28" i="2" s="1"/>
  <c r="E28" i="2" l="1"/>
  <c r="G28" i="2" s="1"/>
  <c r="H28" i="2" s="1"/>
  <c r="D29" i="2" s="1"/>
  <c r="F28" i="2"/>
  <c r="E29" i="2" l="1"/>
  <c r="G29" i="2" s="1"/>
  <c r="H29" i="2" s="1"/>
  <c r="D30" i="2" s="1"/>
  <c r="F29" i="2"/>
  <c r="E30" i="2" l="1"/>
  <c r="G30" i="2" s="1"/>
  <c r="H30" i="2" s="1"/>
  <c r="D31" i="2" s="1"/>
  <c r="F30" i="2"/>
  <c r="F31" i="2" l="1"/>
  <c r="E31" i="2" s="1"/>
  <c r="G31" i="2" s="1"/>
  <c r="H31" i="2" s="1"/>
  <c r="D32" i="2" s="1"/>
  <c r="E32" i="2" l="1"/>
  <c r="G32" i="2" s="1"/>
  <c r="H32" i="2" s="1"/>
  <c r="D33" i="2" s="1"/>
  <c r="F32" i="2"/>
  <c r="F33" i="2" l="1"/>
  <c r="E33" i="2" s="1"/>
  <c r="G33" i="2" s="1"/>
  <c r="H33" i="2" s="1"/>
  <c r="D34" i="2" s="1"/>
  <c r="F34" i="2" l="1"/>
  <c r="E34" i="2"/>
  <c r="G34" i="2" s="1"/>
  <c r="H34" i="2" s="1"/>
  <c r="D35" i="2" s="1"/>
  <c r="F35" i="2" l="1"/>
  <c r="E35" i="2" s="1"/>
  <c r="G35" i="2" s="1"/>
  <c r="H35" i="2" s="1"/>
  <c r="D36" i="2" s="1"/>
  <c r="F36" i="2" l="1"/>
  <c r="E36" i="2" s="1"/>
  <c r="G36" i="2" s="1"/>
  <c r="H36" i="2" s="1"/>
  <c r="D37" i="2" s="1"/>
  <c r="E37" i="2" l="1"/>
  <c r="G37" i="2" s="1"/>
  <c r="H37" i="2" s="1"/>
  <c r="D38" i="2" s="1"/>
  <c r="F37" i="2"/>
  <c r="F38" i="2" l="1"/>
  <c r="E38" i="2" s="1"/>
  <c r="G38" i="2" s="1"/>
  <c r="H38" i="2" s="1"/>
  <c r="D39" i="2" s="1"/>
  <c r="F39" i="2" l="1"/>
  <c r="E39" i="2"/>
  <c r="G39" i="2" s="1"/>
  <c r="H39" i="2" s="1"/>
  <c r="D40" i="2" s="1"/>
  <c r="F40" i="2" l="1"/>
  <c r="E40" i="2" s="1"/>
  <c r="G40" i="2" s="1"/>
  <c r="H40" i="2" s="1"/>
  <c r="D41" i="2" s="1"/>
  <c r="F41" i="2" l="1"/>
  <c r="E41" i="2"/>
  <c r="G41" i="2" s="1"/>
  <c r="H41" i="2" s="1"/>
  <c r="D42" i="2" s="1"/>
  <c r="F42" i="2" l="1"/>
  <c r="E42" i="2"/>
  <c r="G42" i="2" s="1"/>
  <c r="H42" i="2" s="1"/>
  <c r="D43" i="2" s="1"/>
  <c r="F43" i="2" l="1"/>
  <c r="E43" i="2" s="1"/>
  <c r="G43" i="2" s="1"/>
  <c r="H43" i="2" s="1"/>
  <c r="D44" i="2" s="1"/>
  <c r="F44" i="2" l="1"/>
  <c r="E44" i="2"/>
  <c r="G44" i="2" s="1"/>
  <c r="H44" i="2" s="1"/>
  <c r="D45" i="2" s="1"/>
  <c r="F45" i="2" l="1"/>
  <c r="E45" i="2" s="1"/>
  <c r="G45" i="2" s="1"/>
  <c r="H45" i="2" s="1"/>
  <c r="D46" i="2" s="1"/>
  <c r="F46" i="2" l="1"/>
  <c r="E46" i="2"/>
  <c r="G46" i="2" s="1"/>
  <c r="H46" i="2" s="1"/>
  <c r="D47" i="2" s="1"/>
  <c r="F47" i="2" l="1"/>
  <c r="E47" i="2"/>
  <c r="G47" i="2" s="1"/>
  <c r="H47" i="2" s="1"/>
  <c r="D48" i="2" s="1"/>
  <c r="F48" i="2" l="1"/>
  <c r="E48" i="2" s="1"/>
  <c r="G48" i="2" s="1"/>
  <c r="H48" i="2" s="1"/>
  <c r="D49" i="2" s="1"/>
  <c r="F49" i="2" l="1"/>
  <c r="E49" i="2" s="1"/>
  <c r="G49" i="2" s="1"/>
  <c r="H49" i="2" s="1"/>
  <c r="D50" i="2" s="1"/>
  <c r="F50" i="2" l="1"/>
  <c r="E50" i="2" s="1"/>
  <c r="G50" i="2" s="1"/>
  <c r="H50" i="2" s="1"/>
  <c r="D51" i="2" s="1"/>
  <c r="F51" i="2" l="1"/>
  <c r="E51" i="2" s="1"/>
  <c r="G51" i="2" s="1"/>
  <c r="H51" i="2" s="1"/>
  <c r="D52" i="2" s="1"/>
  <c r="F52" i="2" l="1"/>
  <c r="E52" i="2"/>
  <c r="G52" i="2" s="1"/>
  <c r="H52" i="2"/>
  <c r="D53" i="2" s="1"/>
  <c r="F53" i="2" l="1"/>
  <c r="E53" i="2" s="1"/>
  <c r="G53" i="2" s="1"/>
  <c r="H53" i="2" s="1"/>
  <c r="D54" i="2" s="1"/>
  <c r="F54" i="2" l="1"/>
  <c r="E54" i="2" s="1"/>
  <c r="G54" i="2" s="1"/>
  <c r="H54" i="2" s="1"/>
  <c r="D55" i="2" s="1"/>
  <c r="F55" i="2" l="1"/>
  <c r="E55" i="2"/>
  <c r="G55" i="2" s="1"/>
  <c r="H55" i="2" s="1"/>
  <c r="D56" i="2" s="1"/>
  <c r="F56" i="2" l="1"/>
  <c r="E56" i="2" s="1"/>
  <c r="G56" i="2" s="1"/>
  <c r="H56" i="2" s="1"/>
  <c r="D57" i="2" s="1"/>
  <c r="E57" i="2" l="1"/>
  <c r="G57" i="2" s="1"/>
  <c r="H57" i="2" s="1"/>
  <c r="D58" i="2" s="1"/>
  <c r="F57" i="2"/>
  <c r="F58" i="2" l="1"/>
  <c r="E58" i="2" s="1"/>
  <c r="G58" i="2" s="1"/>
  <c r="H58" i="2" s="1"/>
  <c r="D59" i="2" s="1"/>
  <c r="F59" i="2" l="1"/>
  <c r="E59" i="2"/>
  <c r="G59" i="2" s="1"/>
  <c r="H59" i="2" s="1"/>
  <c r="D60" i="2" s="1"/>
  <c r="F60" i="2" l="1"/>
  <c r="E60" i="2"/>
  <c r="G60" i="2" s="1"/>
  <c r="H60" i="2" s="1"/>
  <c r="D61" i="2" s="1"/>
  <c r="F61" i="2" l="1"/>
  <c r="E61" i="2" s="1"/>
  <c r="G61" i="2" s="1"/>
  <c r="H61" i="2" s="1"/>
  <c r="D62" i="2" s="1"/>
  <c r="F62" i="2" l="1"/>
  <c r="E62" i="2" s="1"/>
  <c r="G62" i="2" s="1"/>
  <c r="H62" i="2" s="1"/>
  <c r="D63" i="2" s="1"/>
  <c r="F63" i="2" l="1"/>
  <c r="E63" i="2"/>
  <c r="G63" i="2" s="1"/>
  <c r="H63" i="2" s="1"/>
  <c r="D64" i="2" s="1"/>
  <c r="E64" i="2" l="1"/>
  <c r="G64" i="2" s="1"/>
  <c r="H64" i="2" s="1"/>
  <c r="D65" i="2" s="1"/>
  <c r="F64" i="2"/>
  <c r="F65" i="2" l="1"/>
  <c r="E65" i="2" s="1"/>
  <c r="G65" i="2" s="1"/>
  <c r="H65" i="2" s="1"/>
  <c r="D66" i="2" s="1"/>
  <c r="F66" i="2" l="1"/>
  <c r="E66" i="2"/>
  <c r="G66" i="2" s="1"/>
  <c r="H66" i="2" s="1"/>
  <c r="D67" i="2" s="1"/>
  <c r="F67" i="2" l="1"/>
  <c r="E67" i="2" s="1"/>
  <c r="G67" i="2" s="1"/>
  <c r="H67" i="2" s="1"/>
  <c r="D68" i="2" s="1"/>
  <c r="F68" i="2" l="1"/>
  <c r="E68" i="2"/>
  <c r="G68" i="2" s="1"/>
  <c r="H68" i="2" s="1"/>
  <c r="D69" i="2" s="1"/>
  <c r="E69" i="2" l="1"/>
  <c r="G69" i="2" s="1"/>
  <c r="H69" i="2" s="1"/>
  <c r="D70" i="2" s="1"/>
  <c r="F69" i="2"/>
  <c r="F70" i="2" l="1"/>
  <c r="E70" i="2" s="1"/>
  <c r="G70" i="2" s="1"/>
  <c r="H70" i="2" s="1"/>
  <c r="D71" i="2" s="1"/>
  <c r="F71" i="2" l="1"/>
  <c r="E71" i="2"/>
  <c r="G71" i="2" s="1"/>
  <c r="H71" i="2" s="1"/>
  <c r="D72" i="2" s="1"/>
  <c r="F72" i="2" l="1"/>
  <c r="E72" i="2" s="1"/>
  <c r="G72" i="2" s="1"/>
  <c r="H72" i="2" s="1"/>
  <c r="D73" i="2" s="1"/>
  <c r="E73" i="2" l="1"/>
  <c r="G73" i="2" s="1"/>
  <c r="H73" i="2" s="1"/>
  <c r="D74" i="2" s="1"/>
  <c r="F73" i="2"/>
  <c r="F74" i="2" l="1"/>
  <c r="E74" i="2" s="1"/>
  <c r="G74" i="2" s="1"/>
  <c r="H74" i="2" s="1"/>
  <c r="D75" i="2" s="1"/>
  <c r="F75" i="2" l="1"/>
  <c r="E75" i="2" s="1"/>
  <c r="G75" i="2" s="1"/>
  <c r="H75" i="2" s="1"/>
  <c r="D76" i="2" s="1"/>
  <c r="F76" i="2" l="1"/>
  <c r="E76" i="2"/>
  <c r="G76" i="2" s="1"/>
  <c r="H76" i="2" s="1"/>
  <c r="D77" i="2" s="1"/>
  <c r="F77" i="2" l="1"/>
  <c r="E77" i="2"/>
  <c r="G77" i="2" s="1"/>
  <c r="H77" i="2" s="1"/>
  <c r="D78" i="2" s="1"/>
  <c r="F78" i="2" l="1"/>
  <c r="E78" i="2" s="1"/>
  <c r="G78" i="2" s="1"/>
  <c r="H78" i="2" s="1"/>
  <c r="D79" i="2" s="1"/>
  <c r="F79" i="2" l="1"/>
  <c r="E79" i="2"/>
  <c r="G79" i="2" s="1"/>
  <c r="H79" i="2" s="1"/>
  <c r="D80" i="2" s="1"/>
  <c r="F80" i="2" l="1"/>
  <c r="E80" i="2" s="1"/>
  <c r="G80" i="2" s="1"/>
  <c r="H80" i="2" s="1"/>
  <c r="D81" i="2" s="1"/>
  <c r="F81" i="2" l="1"/>
  <c r="E81" i="2" s="1"/>
  <c r="G81" i="2" s="1"/>
  <c r="H81" i="2" s="1"/>
  <c r="D82" i="2" s="1"/>
  <c r="E82" i="2" l="1"/>
  <c r="G82" i="2" s="1"/>
  <c r="H82" i="2" s="1"/>
  <c r="D83" i="2" s="1"/>
  <c r="F82" i="2"/>
  <c r="E83" i="2" l="1"/>
  <c r="G83" i="2" s="1"/>
  <c r="H83" i="2" s="1"/>
  <c r="D84" i="2" s="1"/>
  <c r="F83" i="2"/>
  <c r="F84" i="2" l="1"/>
  <c r="E84" i="2"/>
  <c r="G84" i="2" s="1"/>
  <c r="H84" i="2" s="1"/>
  <c r="D85" i="2" s="1"/>
  <c r="F85" i="2" l="1"/>
  <c r="E85" i="2"/>
  <c r="G85" i="2" s="1"/>
  <c r="H85" i="2" s="1"/>
  <c r="D86" i="2" s="1"/>
  <c r="F86" i="2" l="1"/>
  <c r="E86" i="2" s="1"/>
  <c r="G86" i="2" s="1"/>
  <c r="H86" i="2" s="1"/>
  <c r="D87" i="2" s="1"/>
  <c r="F87" i="2" l="1"/>
  <c r="E87" i="2"/>
  <c r="G87" i="2" s="1"/>
  <c r="H87" i="2" s="1"/>
  <c r="D88" i="2" s="1"/>
  <c r="F88" i="2" l="1"/>
  <c r="E88" i="2"/>
  <c r="G88" i="2" s="1"/>
  <c r="H88" i="2" s="1"/>
  <c r="D89" i="2" s="1"/>
  <c r="F89" i="2" l="1"/>
  <c r="E89" i="2"/>
  <c r="G89" i="2" s="1"/>
  <c r="H89" i="2" s="1"/>
  <c r="D90" i="2" s="1"/>
  <c r="E90" i="2" l="1"/>
  <c r="G90" i="2" s="1"/>
  <c r="H90" i="2" s="1"/>
  <c r="D91" i="2" s="1"/>
  <c r="F90" i="2"/>
  <c r="F91" i="2" l="1"/>
  <c r="E91" i="2" s="1"/>
  <c r="G91" i="2" s="1"/>
  <c r="H91" i="2" s="1"/>
  <c r="D92" i="2" s="1"/>
  <c r="F92" i="2" l="1"/>
  <c r="E92" i="2"/>
  <c r="G92" i="2" s="1"/>
  <c r="H92" i="2" s="1"/>
  <c r="D93" i="2" s="1"/>
  <c r="F93" i="2" l="1"/>
  <c r="E93" i="2"/>
  <c r="G93" i="2" s="1"/>
  <c r="H93" i="2" s="1"/>
  <c r="D94" i="2" s="1"/>
  <c r="E94" i="2" l="1"/>
  <c r="G94" i="2" s="1"/>
  <c r="H94" i="2" s="1"/>
  <c r="D95" i="2" s="1"/>
  <c r="F94" i="2"/>
  <c r="F95" i="2" l="1"/>
  <c r="E95" i="2" s="1"/>
  <c r="G95" i="2" s="1"/>
  <c r="H95" i="2" s="1"/>
  <c r="D96" i="2" s="1"/>
  <c r="F96" i="2" l="1"/>
  <c r="E96" i="2" s="1"/>
  <c r="G96" i="2" s="1"/>
  <c r="H96" i="2" s="1"/>
  <c r="D97" i="2" s="1"/>
  <c r="F97" i="2" l="1"/>
  <c r="E97" i="2" s="1"/>
  <c r="G97" i="2" s="1"/>
  <c r="H97" i="2" s="1"/>
  <c r="D98" i="2" s="1"/>
  <c r="F98" i="2" l="1"/>
  <c r="E98" i="2"/>
  <c r="G98" i="2" s="1"/>
  <c r="H98" i="2" s="1"/>
  <c r="D99" i="2" s="1"/>
  <c r="F99" i="2" l="1"/>
  <c r="E99" i="2" s="1"/>
  <c r="G99" i="2" s="1"/>
  <c r="H99" i="2" s="1"/>
  <c r="D100" i="2" s="1"/>
  <c r="F100" i="2" l="1"/>
  <c r="E100" i="2" s="1"/>
  <c r="G100" i="2" s="1"/>
  <c r="H100" i="2" s="1"/>
  <c r="D101" i="2" s="1"/>
  <c r="F101" i="2" l="1"/>
  <c r="E101" i="2"/>
  <c r="G101" i="2" s="1"/>
  <c r="H101" i="2" s="1"/>
  <c r="D102" i="2" s="1"/>
  <c r="F102" i="2" l="1"/>
  <c r="E102" i="2" s="1"/>
  <c r="G102" i="2" s="1"/>
  <c r="H102" i="2" s="1"/>
  <c r="D103" i="2" s="1"/>
  <c r="F103" i="2" l="1"/>
  <c r="E103" i="2"/>
  <c r="G103" i="2" s="1"/>
  <c r="H103" i="2" s="1"/>
  <c r="D104" i="2" s="1"/>
  <c r="F104" i="2" l="1"/>
  <c r="E104" i="2" s="1"/>
  <c r="G104" i="2" s="1"/>
  <c r="H104" i="2" s="1"/>
  <c r="D105" i="2" s="1"/>
  <c r="F105" i="2" l="1"/>
  <c r="E105" i="2"/>
  <c r="G105" i="2" s="1"/>
  <c r="H105" i="2" s="1"/>
  <c r="D106" i="2" s="1"/>
  <c r="F106" i="2" l="1"/>
  <c r="E106" i="2"/>
  <c r="G106" i="2" s="1"/>
  <c r="H106" i="2" s="1"/>
  <c r="D107" i="2" s="1"/>
  <c r="F107" i="2" l="1"/>
  <c r="E107" i="2" s="1"/>
  <c r="G107" i="2" s="1"/>
  <c r="H107" i="2" s="1"/>
  <c r="D108" i="2" s="1"/>
  <c r="F108" i="2" l="1"/>
  <c r="E108" i="2" s="1"/>
  <c r="G108" i="2" s="1"/>
  <c r="H108" i="2" s="1"/>
  <c r="D109" i="2" s="1"/>
  <c r="F109" i="2" l="1"/>
  <c r="E109" i="2" s="1"/>
  <c r="G109" i="2" s="1"/>
  <c r="H109" i="2" s="1"/>
  <c r="D110" i="2" s="1"/>
  <c r="F110" i="2" l="1"/>
  <c r="E110" i="2"/>
  <c r="G110" i="2" s="1"/>
  <c r="H110" i="2" s="1"/>
  <c r="D111" i="2" s="1"/>
  <c r="F111" i="2" l="1"/>
  <c r="E111" i="2"/>
  <c r="G111" i="2" s="1"/>
  <c r="H111" i="2" s="1"/>
  <c r="D112" i="2" s="1"/>
  <c r="F112" i="2" l="1"/>
  <c r="E112" i="2" s="1"/>
  <c r="G112" i="2" s="1"/>
  <c r="H112" i="2" s="1"/>
  <c r="D113" i="2" s="1"/>
  <c r="F113" i="2" l="1"/>
  <c r="E113" i="2" s="1"/>
  <c r="G113" i="2" s="1"/>
  <c r="H113" i="2" s="1"/>
  <c r="D114" i="2" s="1"/>
  <c r="F114" i="2" l="1"/>
  <c r="E114" i="2" s="1"/>
  <c r="G114" i="2" s="1"/>
  <c r="H114" i="2" s="1"/>
  <c r="D115" i="2" s="1"/>
  <c r="F115" i="2" l="1"/>
  <c r="E115" i="2" s="1"/>
  <c r="G115" i="2" s="1"/>
  <c r="H115" i="2" s="1"/>
  <c r="D116" i="2" s="1"/>
  <c r="F116" i="2" l="1"/>
  <c r="E116" i="2" s="1"/>
  <c r="G116" i="2" s="1"/>
  <c r="H116" i="2" s="1"/>
  <c r="D117" i="2" s="1"/>
  <c r="F117" i="2" l="1"/>
  <c r="E117" i="2"/>
  <c r="G117" i="2" s="1"/>
  <c r="H117" i="2" s="1"/>
  <c r="D118" i="2" s="1"/>
  <c r="F118" i="2" l="1"/>
  <c r="E118" i="2" s="1"/>
  <c r="G118" i="2" s="1"/>
  <c r="H118" i="2" s="1"/>
  <c r="D119" i="2" s="1"/>
  <c r="F119" i="2" l="1"/>
  <c r="E119" i="2"/>
  <c r="G119" i="2" s="1"/>
  <c r="H119" i="2" s="1"/>
  <c r="D120" i="2" s="1"/>
  <c r="F120" i="2" l="1"/>
  <c r="E120" i="2"/>
  <c r="G120" i="2" s="1"/>
  <c r="H120" i="2" s="1"/>
  <c r="D121" i="2" s="1"/>
  <c r="F121" i="2" l="1"/>
  <c r="E121" i="2" s="1"/>
  <c r="G121" i="2" s="1"/>
  <c r="H121" i="2" s="1"/>
  <c r="D122" i="2" s="1"/>
  <c r="F122" i="2" l="1"/>
  <c r="E122" i="2"/>
  <c r="G122" i="2" s="1"/>
  <c r="H122" i="2" s="1"/>
  <c r="D123" i="2" s="1"/>
  <c r="F123" i="2" l="1"/>
  <c r="E123" i="2" s="1"/>
  <c r="G123" i="2" s="1"/>
  <c r="H123" i="2" s="1"/>
  <c r="D124" i="2" s="1"/>
  <c r="F124" i="2" l="1"/>
  <c r="E124" i="2" s="1"/>
  <c r="G124" i="2" s="1"/>
  <c r="H124" i="2" s="1"/>
  <c r="D125" i="2" s="1"/>
  <c r="E125" i="2" l="1"/>
  <c r="G125" i="2" s="1"/>
  <c r="H125" i="2" s="1"/>
  <c r="D126" i="2" s="1"/>
  <c r="F125" i="2"/>
  <c r="F126" i="2" l="1"/>
  <c r="E126" i="2" s="1"/>
  <c r="G126" i="2" s="1"/>
  <c r="H126" i="2" s="1"/>
  <c r="D127" i="2" s="1"/>
  <c r="F127" i="2" l="1"/>
  <c r="E127" i="2"/>
  <c r="G127" i="2" s="1"/>
  <c r="H127" i="2" s="1"/>
  <c r="D128" i="2" s="1"/>
  <c r="F128" i="2" l="1"/>
  <c r="E128" i="2" s="1"/>
  <c r="G128" i="2" s="1"/>
  <c r="H128" i="2" s="1"/>
  <c r="D129" i="2" s="1"/>
  <c r="F129" i="2" l="1"/>
  <c r="E129" i="2"/>
  <c r="G129" i="2" s="1"/>
  <c r="H129" i="2" s="1"/>
  <c r="D130" i="2" s="1"/>
  <c r="F130" i="2" l="1"/>
  <c r="E130" i="2"/>
  <c r="G130" i="2" s="1"/>
  <c r="H130" i="2"/>
  <c r="D131" i="2" s="1"/>
  <c r="F131" i="2" l="1"/>
  <c r="E131" i="2" s="1"/>
  <c r="G131" i="2" s="1"/>
  <c r="H131" i="2" s="1"/>
  <c r="D132" i="2" s="1"/>
  <c r="F132" i="2" l="1"/>
  <c r="E132" i="2" s="1"/>
  <c r="G132" i="2" s="1"/>
  <c r="H132" i="2" s="1"/>
  <c r="D133" i="2" s="1"/>
  <c r="F133" i="2" l="1"/>
  <c r="E133" i="2"/>
  <c r="G133" i="2" s="1"/>
  <c r="H133" i="2" s="1"/>
  <c r="D134" i="2" s="1"/>
  <c r="F134" i="2" l="1"/>
  <c r="E134" i="2"/>
  <c r="G134" i="2" s="1"/>
  <c r="H134" i="2" s="1"/>
  <c r="D135" i="2" s="1"/>
  <c r="F135" i="2" l="1"/>
  <c r="E135" i="2"/>
  <c r="G135" i="2" s="1"/>
  <c r="H135" i="2" s="1"/>
  <c r="D136" i="2" s="1"/>
  <c r="F136" i="2" l="1"/>
  <c r="E136" i="2" s="1"/>
  <c r="G136" i="2" s="1"/>
  <c r="H136" i="2" s="1"/>
  <c r="D137" i="2" s="1"/>
  <c r="F137" i="2" l="1"/>
  <c r="E137" i="2" s="1"/>
  <c r="G137" i="2" s="1"/>
  <c r="H137" i="2" s="1"/>
  <c r="D138" i="2" s="1"/>
  <c r="F138" i="2" l="1"/>
  <c r="E138" i="2"/>
  <c r="G138" i="2" s="1"/>
  <c r="H138" i="2" s="1"/>
  <c r="D139" i="2" s="1"/>
  <c r="F139" i="2" l="1"/>
  <c r="E139" i="2" s="1"/>
  <c r="G139" i="2" s="1"/>
  <c r="H139" i="2" s="1"/>
  <c r="D140" i="2" s="1"/>
  <c r="F140" i="2" l="1"/>
  <c r="E140" i="2" s="1"/>
  <c r="G140" i="2" s="1"/>
  <c r="H140" i="2" s="1"/>
  <c r="D141" i="2" s="1"/>
  <c r="F141" i="2" l="1"/>
  <c r="E141" i="2"/>
  <c r="G141" i="2" s="1"/>
  <c r="H141" i="2" s="1"/>
  <c r="D142" i="2" s="1"/>
  <c r="F142" i="2" l="1"/>
  <c r="E142" i="2" s="1"/>
  <c r="G142" i="2" s="1"/>
  <c r="H142" i="2" s="1"/>
  <c r="D143" i="2" s="1"/>
  <c r="F143" i="2" l="1"/>
  <c r="E143" i="2" s="1"/>
  <c r="G143" i="2" s="1"/>
  <c r="H143" i="2" s="1"/>
  <c r="D144" i="2" s="1"/>
  <c r="F144" i="2" l="1"/>
  <c r="E144" i="2" s="1"/>
  <c r="G144" i="2" s="1"/>
  <c r="H144" i="2" s="1"/>
  <c r="D145" i="2" s="1"/>
  <c r="E145" i="2" l="1"/>
  <c r="G145" i="2" s="1"/>
  <c r="H145" i="2" s="1"/>
  <c r="D146" i="2" s="1"/>
  <c r="F145" i="2"/>
  <c r="F146" i="2" l="1"/>
  <c r="E146" i="2"/>
  <c r="G146" i="2" s="1"/>
  <c r="H146" i="2" s="1"/>
  <c r="D147" i="2" s="1"/>
  <c r="F147" i="2" l="1"/>
  <c r="E147" i="2" s="1"/>
  <c r="G147" i="2" s="1"/>
  <c r="H147" i="2" s="1"/>
  <c r="D148" i="2" s="1"/>
  <c r="F148" i="2" l="1"/>
  <c r="E148" i="2"/>
  <c r="G148" i="2" s="1"/>
  <c r="H148" i="2" s="1"/>
  <c r="D149" i="2" s="1"/>
  <c r="F149" i="2" l="1"/>
  <c r="E149" i="2"/>
  <c r="G149" i="2" s="1"/>
  <c r="H149" i="2" s="1"/>
  <c r="D150" i="2" s="1"/>
  <c r="F150" i="2" l="1"/>
  <c r="E150" i="2" s="1"/>
  <c r="G150" i="2" s="1"/>
  <c r="H150" i="2" s="1"/>
  <c r="D151" i="2" s="1"/>
  <c r="F151" i="2" l="1"/>
  <c r="E151" i="2" s="1"/>
  <c r="G151" i="2" s="1"/>
  <c r="H151" i="2" s="1"/>
  <c r="D152" i="2" s="1"/>
  <c r="F152" i="2" l="1"/>
  <c r="E152" i="2" s="1"/>
  <c r="G152" i="2" s="1"/>
  <c r="H152" i="2" s="1"/>
  <c r="D153" i="2" s="1"/>
  <c r="F153" i="2" l="1"/>
  <c r="E153" i="2" s="1"/>
  <c r="G153" i="2" s="1"/>
  <c r="H153" i="2" s="1"/>
  <c r="D154" i="2" s="1"/>
  <c r="F154" i="2" l="1"/>
  <c r="E154" i="2"/>
  <c r="G154" i="2" s="1"/>
  <c r="H154" i="2" s="1"/>
  <c r="D155" i="2" s="1"/>
  <c r="F155" i="2" l="1"/>
  <c r="E155" i="2" s="1"/>
  <c r="G155" i="2" s="1"/>
  <c r="H155" i="2" s="1"/>
  <c r="D156" i="2" s="1"/>
  <c r="F156" i="2" l="1"/>
  <c r="E156" i="2"/>
  <c r="G156" i="2" s="1"/>
  <c r="H156" i="2" s="1"/>
  <c r="D157" i="2" s="1"/>
  <c r="F157" i="2" l="1"/>
  <c r="E157" i="2"/>
  <c r="G157" i="2" s="1"/>
  <c r="H157" i="2"/>
  <c r="D158" i="2" s="1"/>
  <c r="F158" i="2" l="1"/>
  <c r="E158" i="2" s="1"/>
  <c r="G158" i="2" s="1"/>
  <c r="H158" i="2" s="1"/>
  <c r="D159" i="2" s="1"/>
  <c r="E159" i="2" l="1"/>
  <c r="G159" i="2" s="1"/>
  <c r="H159" i="2" s="1"/>
  <c r="D160" i="2" s="1"/>
  <c r="F159" i="2"/>
  <c r="F160" i="2" l="1"/>
  <c r="E160" i="2"/>
  <c r="G160" i="2" s="1"/>
  <c r="H160" i="2" s="1"/>
  <c r="D161" i="2" s="1"/>
  <c r="F161" i="2" l="1"/>
  <c r="E161" i="2" s="1"/>
  <c r="G161" i="2" s="1"/>
  <c r="H161" i="2" s="1"/>
  <c r="D162" i="2" s="1"/>
  <c r="F162" i="2" l="1"/>
  <c r="E162" i="2"/>
  <c r="G162" i="2" s="1"/>
  <c r="H162" i="2" s="1"/>
  <c r="D163" i="2" s="1"/>
  <c r="F163" i="2" l="1"/>
  <c r="E163" i="2"/>
  <c r="G163" i="2" s="1"/>
  <c r="H163" i="2" s="1"/>
  <c r="D164" i="2" s="1"/>
  <c r="F164" i="2" l="1"/>
  <c r="E164" i="2" s="1"/>
  <c r="G164" i="2" s="1"/>
  <c r="H164" i="2" s="1"/>
  <c r="D165" i="2" s="1"/>
  <c r="F165" i="2" l="1"/>
  <c r="E165" i="2"/>
  <c r="G165" i="2" s="1"/>
  <c r="H165" i="2" s="1"/>
  <c r="D166" i="2" s="1"/>
  <c r="F166" i="2" l="1"/>
  <c r="E166" i="2"/>
  <c r="G166" i="2" s="1"/>
  <c r="H166" i="2" s="1"/>
  <c r="D167" i="2" s="1"/>
  <c r="F167" i="2" l="1"/>
  <c r="E167" i="2" s="1"/>
  <c r="G167" i="2" s="1"/>
  <c r="H167" i="2" s="1"/>
  <c r="D168" i="2" s="1"/>
  <c r="F168" i="2" l="1"/>
  <c r="E168" i="2" s="1"/>
  <c r="G168" i="2" s="1"/>
  <c r="H168" i="2" s="1"/>
  <c r="D169" i="2" s="1"/>
  <c r="F169" i="2" l="1"/>
  <c r="E169" i="2"/>
  <c r="G169" i="2" s="1"/>
  <c r="H169" i="2" s="1"/>
  <c r="D170" i="2" s="1"/>
  <c r="F170" i="2" l="1"/>
  <c r="E170" i="2"/>
  <c r="G170" i="2" s="1"/>
  <c r="H170" i="2" s="1"/>
  <c r="D171" i="2" s="1"/>
  <c r="F171" i="2" l="1"/>
  <c r="E171" i="2" s="1"/>
  <c r="G171" i="2" s="1"/>
  <c r="H171" i="2" s="1"/>
  <c r="D172" i="2" s="1"/>
  <c r="F172" i="2" l="1"/>
  <c r="E172" i="2" s="1"/>
  <c r="G172" i="2" s="1"/>
  <c r="H172" i="2" s="1"/>
  <c r="D173" i="2" s="1"/>
  <c r="E173" i="2" l="1"/>
  <c r="G173" i="2" s="1"/>
  <c r="H173" i="2" s="1"/>
  <c r="D174" i="2" s="1"/>
  <c r="F173" i="2"/>
  <c r="F174" i="2" l="1"/>
  <c r="E174" i="2" s="1"/>
  <c r="G174" i="2" s="1"/>
  <c r="H174" i="2" s="1"/>
  <c r="D175" i="2" s="1"/>
  <c r="F175" i="2" l="1"/>
  <c r="E175" i="2" s="1"/>
  <c r="G175" i="2" s="1"/>
  <c r="H175" i="2" s="1"/>
  <c r="D176" i="2" s="1"/>
  <c r="F176" i="2" l="1"/>
  <c r="E176" i="2"/>
  <c r="G176" i="2" s="1"/>
  <c r="H176" i="2" s="1"/>
  <c r="D177" i="2" s="1"/>
  <c r="F177" i="2" l="1"/>
  <c r="E177" i="2" s="1"/>
  <c r="G177" i="2" s="1"/>
  <c r="H177" i="2" s="1"/>
  <c r="D178" i="2" s="1"/>
  <c r="F178" i="2" l="1"/>
  <c r="E178" i="2"/>
  <c r="G178" i="2" s="1"/>
  <c r="H178" i="2" s="1"/>
  <c r="D179" i="2" s="1"/>
  <c r="F179" i="2" l="1"/>
  <c r="E179" i="2"/>
  <c r="G179" i="2" s="1"/>
  <c r="H179" i="2" s="1"/>
  <c r="D180" i="2" s="1"/>
  <c r="F180" i="2" l="1"/>
  <c r="E180" i="2"/>
  <c r="G180" i="2" s="1"/>
  <c r="H180" i="2" s="1"/>
  <c r="D181" i="2" s="1"/>
  <c r="F181" i="2" l="1"/>
  <c r="E181" i="2" s="1"/>
  <c r="G181" i="2" s="1"/>
  <c r="H181" i="2" s="1"/>
  <c r="D182" i="2" s="1"/>
  <c r="F182" i="2" l="1"/>
  <c r="E182" i="2"/>
  <c r="G182" i="2" s="1"/>
  <c r="H182" i="2" s="1"/>
  <c r="D183" i="2" s="1"/>
  <c r="F183" i="2" l="1"/>
  <c r="E183" i="2" s="1"/>
  <c r="G183" i="2" s="1"/>
  <c r="H183" i="2" s="1"/>
  <c r="D184" i="2" s="1"/>
  <c r="F184" i="2" l="1"/>
  <c r="E184" i="2"/>
  <c r="G184" i="2" s="1"/>
  <c r="H184" i="2" s="1"/>
  <c r="D185" i="2" s="1"/>
  <c r="E185" i="2" l="1"/>
  <c r="G185" i="2" s="1"/>
  <c r="H185" i="2" s="1"/>
  <c r="D186" i="2" s="1"/>
  <c r="F185" i="2"/>
  <c r="F186" i="2" l="1"/>
  <c r="E186" i="2" s="1"/>
  <c r="G186" i="2" s="1"/>
  <c r="H186" i="2" s="1"/>
  <c r="D187" i="2" s="1"/>
  <c r="F187" i="2" l="1"/>
  <c r="E187" i="2" s="1"/>
  <c r="G187" i="2" s="1"/>
  <c r="H187" i="2" s="1"/>
  <c r="D188" i="2" s="1"/>
  <c r="F188" i="2" l="1"/>
  <c r="E188" i="2" s="1"/>
  <c r="G188" i="2" s="1"/>
  <c r="H188" i="2" s="1"/>
  <c r="D189" i="2" s="1"/>
  <c r="F189" i="2" l="1"/>
  <c r="E189" i="2" s="1"/>
  <c r="G189" i="2" s="1"/>
  <c r="H189" i="2" s="1"/>
  <c r="D190" i="2" s="1"/>
  <c r="F190" i="2" l="1"/>
  <c r="E190" i="2" s="1"/>
  <c r="G190" i="2" s="1"/>
  <c r="H190" i="2" s="1"/>
  <c r="D191" i="2" s="1"/>
  <c r="F191" i="2" l="1"/>
  <c r="E191" i="2"/>
  <c r="G191" i="2" s="1"/>
  <c r="H191" i="2" s="1"/>
  <c r="D192" i="2" s="1"/>
  <c r="F192" i="2" l="1"/>
  <c r="E192" i="2" s="1"/>
  <c r="G192" i="2" s="1"/>
  <c r="H192" i="2" s="1"/>
  <c r="D193" i="2" s="1"/>
  <c r="F193" i="2" l="1"/>
  <c r="E193" i="2"/>
  <c r="G193" i="2" s="1"/>
  <c r="H193" i="2" s="1"/>
  <c r="D194" i="2" s="1"/>
  <c r="F194" i="2" l="1"/>
  <c r="E194" i="2"/>
  <c r="G194" i="2" s="1"/>
  <c r="H194" i="2" s="1"/>
  <c r="D195" i="2" s="1"/>
  <c r="F195" i="2" l="1"/>
  <c r="E195" i="2" s="1"/>
  <c r="G195" i="2" s="1"/>
  <c r="H195" i="2" s="1"/>
  <c r="D196" i="2" s="1"/>
  <c r="F196" i="2" l="1"/>
  <c r="E196" i="2" s="1"/>
  <c r="G196" i="2" s="1"/>
  <c r="H196" i="2" s="1"/>
  <c r="D197" i="2" s="1"/>
  <c r="F197" i="2" l="1"/>
  <c r="E197" i="2" s="1"/>
  <c r="G197" i="2" s="1"/>
  <c r="H197" i="2" s="1"/>
  <c r="D198" i="2" s="1"/>
  <c r="F198" i="2" l="1"/>
  <c r="E198" i="2" s="1"/>
  <c r="G198" i="2" s="1"/>
  <c r="H198" i="2" s="1"/>
  <c r="D199" i="2" s="1"/>
  <c r="F199" i="2" l="1"/>
  <c r="E199" i="2"/>
  <c r="G199" i="2" s="1"/>
  <c r="H199" i="2" s="1"/>
  <c r="D200" i="2" s="1"/>
  <c r="F200" i="2" l="1"/>
  <c r="E200" i="2" s="1"/>
  <c r="G200" i="2" s="1"/>
  <c r="H200" i="2" s="1"/>
  <c r="D201" i="2" s="1"/>
  <c r="F201" i="2" l="1"/>
  <c r="E201" i="2" s="1"/>
  <c r="G201" i="2" s="1"/>
  <c r="H201" i="2" s="1"/>
  <c r="D202" i="2" s="1"/>
  <c r="F202" i="2" l="1"/>
  <c r="E202" i="2"/>
  <c r="G202" i="2" s="1"/>
  <c r="H202" i="2" s="1"/>
  <c r="D203" i="2" s="1"/>
  <c r="F203" i="2" l="1"/>
  <c r="E203" i="2"/>
  <c r="G203" i="2" s="1"/>
  <c r="H203" i="2" s="1"/>
  <c r="D204" i="2" s="1"/>
  <c r="F204" i="2" l="1"/>
  <c r="E204" i="2" s="1"/>
  <c r="G204" i="2" s="1"/>
  <c r="H204" i="2" s="1"/>
  <c r="D205" i="2" s="1"/>
  <c r="F205" i="2" l="1"/>
  <c r="E205" i="2" s="1"/>
  <c r="G205" i="2" s="1"/>
  <c r="H205" i="2" s="1"/>
  <c r="D206" i="2" s="1"/>
  <c r="F206" i="2" l="1"/>
  <c r="E206" i="2" s="1"/>
  <c r="G206" i="2" s="1"/>
  <c r="H206" i="2" s="1"/>
  <c r="D207" i="2" s="1"/>
  <c r="F207" i="2" l="1"/>
  <c r="E207" i="2" s="1"/>
  <c r="G207" i="2" s="1"/>
  <c r="H207" i="2" s="1"/>
  <c r="D208" i="2" s="1"/>
  <c r="F208" i="2" l="1"/>
  <c r="E208" i="2"/>
  <c r="G208" i="2" s="1"/>
  <c r="H208" i="2" s="1"/>
  <c r="D209" i="2" s="1"/>
  <c r="F209" i="2" l="1"/>
  <c r="E209" i="2" s="1"/>
  <c r="G209" i="2" s="1"/>
  <c r="H209" i="2" s="1"/>
  <c r="D210" i="2" s="1"/>
  <c r="F210" i="2" l="1"/>
  <c r="E210" i="2"/>
  <c r="G210" i="2" s="1"/>
  <c r="H210" i="2" s="1"/>
  <c r="D211" i="2" s="1"/>
  <c r="F211" i="2" l="1"/>
  <c r="E211" i="2" s="1"/>
  <c r="G211" i="2" s="1"/>
  <c r="H211" i="2" s="1"/>
  <c r="D212" i="2" s="1"/>
  <c r="F212" i="2" l="1"/>
  <c r="E212" i="2" s="1"/>
  <c r="G212" i="2" s="1"/>
  <c r="H212" i="2" s="1"/>
  <c r="D213" i="2" s="1"/>
  <c r="F213" i="2" l="1"/>
  <c r="E213" i="2" s="1"/>
  <c r="G213" i="2" s="1"/>
  <c r="H213" i="2" s="1"/>
  <c r="D214" i="2" s="1"/>
  <c r="F214" i="2" l="1"/>
  <c r="E214" i="2" s="1"/>
  <c r="G214" i="2" s="1"/>
  <c r="H214" i="2" s="1"/>
  <c r="D215" i="2" s="1"/>
  <c r="F215" i="2" l="1"/>
  <c r="E215" i="2"/>
  <c r="G215" i="2" s="1"/>
  <c r="H215" i="2" s="1"/>
  <c r="D216" i="2" s="1"/>
  <c r="F216" i="2" l="1"/>
  <c r="E216" i="2" s="1"/>
  <c r="G216" i="2" s="1"/>
  <c r="H216" i="2" s="1"/>
  <c r="D217" i="2" s="1"/>
  <c r="F217" i="2" l="1"/>
  <c r="E217" i="2" s="1"/>
  <c r="G217" i="2" s="1"/>
  <c r="H217" i="2" s="1"/>
  <c r="D218" i="2" s="1"/>
  <c r="F218" i="2" l="1"/>
  <c r="E218" i="2" s="1"/>
  <c r="G218" i="2" s="1"/>
  <c r="H218" i="2" s="1"/>
  <c r="D219" i="2" s="1"/>
  <c r="F219" i="2" l="1"/>
  <c r="E219" i="2"/>
  <c r="G219" i="2" s="1"/>
  <c r="H219" i="2" s="1"/>
  <c r="D220" i="2" s="1"/>
  <c r="F220" i="2" l="1"/>
  <c r="E220" i="2" s="1"/>
  <c r="G220" i="2" s="1"/>
  <c r="H220" i="2" s="1"/>
  <c r="D221" i="2" s="1"/>
  <c r="F221" i="2" l="1"/>
  <c r="E221" i="2" s="1"/>
  <c r="G221" i="2" s="1"/>
  <c r="H221" i="2" s="1"/>
  <c r="D222" i="2" s="1"/>
  <c r="F222" i="2" l="1"/>
  <c r="E222" i="2" s="1"/>
  <c r="G222" i="2" s="1"/>
  <c r="H222" i="2" s="1"/>
  <c r="D223" i="2" s="1"/>
  <c r="F223" i="2" l="1"/>
  <c r="E223" i="2"/>
  <c r="G223" i="2" s="1"/>
  <c r="H223" i="2" s="1"/>
  <c r="D224" i="2" s="1"/>
  <c r="F224" i="2" l="1"/>
  <c r="E224" i="2" s="1"/>
  <c r="G224" i="2" s="1"/>
  <c r="H224" i="2" s="1"/>
  <c r="D225" i="2" s="1"/>
  <c r="F225" i="2" l="1"/>
  <c r="E225" i="2"/>
  <c r="G225" i="2" s="1"/>
  <c r="H225" i="2" s="1"/>
  <c r="D226" i="2" s="1"/>
  <c r="F226" i="2" l="1"/>
  <c r="E226" i="2" s="1"/>
  <c r="G226" i="2" s="1"/>
  <c r="H226" i="2" s="1"/>
  <c r="D227" i="2" s="1"/>
  <c r="F227" i="2" l="1"/>
  <c r="E227" i="2" s="1"/>
  <c r="G227" i="2" s="1"/>
  <c r="H227" i="2" s="1"/>
  <c r="D228" i="2" s="1"/>
  <c r="F228" i="2" l="1"/>
  <c r="E228" i="2" s="1"/>
  <c r="G228" i="2" s="1"/>
  <c r="H228" i="2" s="1"/>
  <c r="D229" i="2" s="1"/>
  <c r="F229" i="2" l="1"/>
  <c r="E229" i="2" s="1"/>
  <c r="G229" i="2" s="1"/>
  <c r="H229" i="2" s="1"/>
  <c r="D230" i="2" s="1"/>
  <c r="F230" i="2" l="1"/>
  <c r="E230" i="2"/>
  <c r="G230" i="2" s="1"/>
  <c r="H230" i="2" s="1"/>
  <c r="D231" i="2" s="1"/>
  <c r="F231" i="2" l="1"/>
  <c r="E231" i="2" s="1"/>
  <c r="G231" i="2" s="1"/>
  <c r="H231" i="2" s="1"/>
  <c r="D232" i="2" s="1"/>
  <c r="F232" i="2" l="1"/>
  <c r="E232" i="2"/>
  <c r="G232" i="2" s="1"/>
  <c r="H232" i="2" s="1"/>
  <c r="D233" i="2" s="1"/>
  <c r="F233" i="2" l="1"/>
  <c r="E233" i="2"/>
  <c r="G233" i="2" s="1"/>
  <c r="H233" i="2" s="1"/>
  <c r="D234" i="2" s="1"/>
  <c r="F234" i="2" l="1"/>
  <c r="E234" i="2" s="1"/>
  <c r="G234" i="2" s="1"/>
  <c r="H234" i="2" s="1"/>
  <c r="D235" i="2" s="1"/>
  <c r="F235" i="2" l="1"/>
  <c r="E235" i="2" s="1"/>
  <c r="G235" i="2" s="1"/>
  <c r="H235" i="2" s="1"/>
  <c r="D236" i="2" s="1"/>
  <c r="F236" i="2" l="1"/>
  <c r="E236" i="2" s="1"/>
  <c r="G236" i="2" s="1"/>
  <c r="H236" i="2" s="1"/>
  <c r="D237" i="2" s="1"/>
  <c r="F237" i="2" l="1"/>
  <c r="E237" i="2" s="1"/>
  <c r="G237" i="2" s="1"/>
  <c r="H237" i="2" s="1"/>
  <c r="D238" i="2" s="1"/>
  <c r="F238" i="2" l="1"/>
  <c r="E238" i="2" s="1"/>
  <c r="G238" i="2" s="1"/>
  <c r="H238" i="2" s="1"/>
  <c r="D239" i="2" s="1"/>
  <c r="F239" i="2" l="1"/>
  <c r="E239" i="2" s="1"/>
  <c r="G239" i="2" s="1"/>
  <c r="H239" i="2" s="1"/>
  <c r="D240" i="2" s="1"/>
  <c r="F240" i="2" l="1"/>
  <c r="E240" i="2" s="1"/>
  <c r="G240" i="2" s="1"/>
  <c r="H240" i="2" s="1"/>
  <c r="D241" i="2" s="1"/>
  <c r="F241" i="2" l="1"/>
  <c r="E241" i="2"/>
  <c r="G241" i="2" s="1"/>
  <c r="H241" i="2" s="1"/>
  <c r="D242" i="2" s="1"/>
  <c r="F242" i="2" l="1"/>
  <c r="E242" i="2"/>
  <c r="G242" i="2" s="1"/>
  <c r="H242" i="2" s="1"/>
  <c r="D243" i="2" s="1"/>
  <c r="F243" i="2" l="1"/>
  <c r="E243" i="2"/>
  <c r="G243" i="2" s="1"/>
  <c r="H243" i="2" s="1"/>
  <c r="D244" i="2" s="1"/>
  <c r="F244" i="2" l="1"/>
  <c r="E244" i="2"/>
  <c r="G244" i="2" s="1"/>
  <c r="H244" i="2" s="1"/>
  <c r="D245" i="2" s="1"/>
  <c r="F245" i="2" l="1"/>
  <c r="E245" i="2" s="1"/>
  <c r="G245" i="2" s="1"/>
  <c r="H245" i="2" s="1"/>
  <c r="D246" i="2" s="1"/>
  <c r="F246" i="2" l="1"/>
  <c r="E246" i="2" s="1"/>
  <c r="G246" i="2" s="1"/>
  <c r="H246" i="2" s="1"/>
  <c r="D247" i="2" s="1"/>
  <c r="F247" i="2" l="1"/>
  <c r="E247" i="2"/>
  <c r="G247" i="2" s="1"/>
  <c r="H247" i="2" s="1"/>
  <c r="D248" i="2" s="1"/>
  <c r="F248" i="2" l="1"/>
  <c r="E248" i="2"/>
  <c r="G248" i="2" s="1"/>
  <c r="H248" i="2" s="1"/>
  <c r="D249" i="2" s="1"/>
  <c r="E249" i="2" l="1"/>
  <c r="G249" i="2" s="1"/>
  <c r="H249" i="2" s="1"/>
  <c r="D250" i="2" s="1"/>
  <c r="F249" i="2"/>
  <c r="F250" i="2" l="1"/>
  <c r="E250" i="2"/>
  <c r="G250" i="2" s="1"/>
  <c r="H250" i="2" s="1"/>
  <c r="D251" i="2" s="1"/>
  <c r="F251" i="2" l="1"/>
  <c r="E251" i="2" s="1"/>
  <c r="G251" i="2" s="1"/>
  <c r="H251" i="2" s="1"/>
  <c r="D252" i="2" s="1"/>
  <c r="F252" i="2" l="1"/>
  <c r="E252" i="2" s="1"/>
  <c r="G252" i="2" s="1"/>
  <c r="H252" i="2" s="1"/>
  <c r="D253" i="2" s="1"/>
  <c r="F253" i="2" l="1"/>
  <c r="E253" i="2"/>
  <c r="G253" i="2" s="1"/>
  <c r="H253" i="2" s="1"/>
  <c r="D254" i="2" s="1"/>
  <c r="F254" i="2" l="1"/>
  <c r="E254" i="2"/>
  <c r="G254" i="2" s="1"/>
  <c r="H254" i="2" s="1"/>
  <c r="D255" i="2" s="1"/>
  <c r="E255" i="2" l="1"/>
  <c r="G255" i="2" s="1"/>
  <c r="H255" i="2" s="1"/>
  <c r="D256" i="2" s="1"/>
  <c r="F255" i="2"/>
  <c r="F256" i="2" l="1"/>
  <c r="E256" i="2" s="1"/>
  <c r="G256" i="2" s="1"/>
  <c r="H256" i="2" s="1"/>
  <c r="D257" i="2" s="1"/>
  <c r="F257" i="2" l="1"/>
  <c r="E257" i="2"/>
  <c r="G257" i="2" s="1"/>
  <c r="H257" i="2" s="1"/>
  <c r="D258" i="2" s="1"/>
  <c r="F258" i="2" l="1"/>
  <c r="E258" i="2" s="1"/>
  <c r="G258" i="2" s="1"/>
  <c r="H258" i="2" s="1"/>
  <c r="D259" i="2" s="1"/>
  <c r="F259" i="2" l="1"/>
  <c r="E259" i="2" s="1"/>
  <c r="G259" i="2" s="1"/>
  <c r="H259" i="2" s="1"/>
  <c r="D260" i="2" s="1"/>
  <c r="F260" i="2" l="1"/>
  <c r="E260" i="2" s="1"/>
  <c r="G260" i="2" s="1"/>
  <c r="H260" i="2" s="1"/>
  <c r="D261" i="2" s="1"/>
  <c r="F261" i="2" l="1"/>
  <c r="E261" i="2"/>
  <c r="G261" i="2" s="1"/>
  <c r="H261" i="2" s="1"/>
  <c r="D262" i="2" s="1"/>
  <c r="F262" i="2" l="1"/>
  <c r="E262" i="2" s="1"/>
  <c r="G262" i="2" s="1"/>
  <c r="H262" i="2" s="1"/>
  <c r="D263" i="2" s="1"/>
  <c r="F263" i="2" l="1"/>
  <c r="E263" i="2" s="1"/>
  <c r="G263" i="2" s="1"/>
  <c r="H263" i="2" s="1"/>
  <c r="D264" i="2" s="1"/>
  <c r="F264" i="2" l="1"/>
  <c r="E264" i="2" s="1"/>
  <c r="G264" i="2" s="1"/>
  <c r="H264" i="2" s="1"/>
  <c r="D265" i="2" s="1"/>
  <c r="F265" i="2" l="1"/>
  <c r="E265" i="2" s="1"/>
  <c r="G265" i="2" s="1"/>
  <c r="H265" i="2" s="1"/>
  <c r="D266" i="2" s="1"/>
  <c r="F266" i="2" l="1"/>
  <c r="E266" i="2"/>
  <c r="G266" i="2" s="1"/>
  <c r="H266" i="2" s="1"/>
  <c r="D267" i="2" s="1"/>
  <c r="F267" i="2" l="1"/>
  <c r="E267" i="2" s="1"/>
  <c r="G267" i="2" s="1"/>
  <c r="H267" i="2" s="1"/>
  <c r="D268" i="2" s="1"/>
  <c r="F268" i="2" l="1"/>
  <c r="E268" i="2"/>
  <c r="G268" i="2" s="1"/>
  <c r="H268" i="2" s="1"/>
  <c r="D269" i="2" s="1"/>
  <c r="F269" i="2" l="1"/>
  <c r="E269" i="2" s="1"/>
  <c r="G269" i="2" s="1"/>
  <c r="H269" i="2" s="1"/>
  <c r="D270" i="2" s="1"/>
  <c r="F270" i="2" l="1"/>
  <c r="E270" i="2" s="1"/>
  <c r="G270" i="2" s="1"/>
  <c r="H270" i="2" s="1"/>
  <c r="D271" i="2" s="1"/>
  <c r="F271" i="2" l="1"/>
  <c r="E271" i="2"/>
  <c r="G271" i="2" s="1"/>
  <c r="H271" i="2" s="1"/>
  <c r="D272" i="2" s="1"/>
  <c r="F272" i="2" l="1"/>
  <c r="E272" i="2" s="1"/>
  <c r="G272" i="2" s="1"/>
  <c r="H272" i="2" s="1"/>
  <c r="D273" i="2" s="1"/>
  <c r="F273" i="2" l="1"/>
  <c r="E273" i="2"/>
  <c r="G273" i="2" s="1"/>
  <c r="H273" i="2" s="1"/>
  <c r="D274" i="2" s="1"/>
  <c r="E274" i="2" l="1"/>
  <c r="G274" i="2" s="1"/>
  <c r="H274" i="2" s="1"/>
  <c r="D275" i="2" s="1"/>
  <c r="F274" i="2"/>
  <c r="E275" i="2" l="1"/>
  <c r="G275" i="2" s="1"/>
  <c r="H275" i="2" s="1"/>
  <c r="D276" i="2" s="1"/>
  <c r="F275" i="2"/>
  <c r="F276" i="2" l="1"/>
  <c r="E276" i="2"/>
  <c r="G276" i="2" s="1"/>
  <c r="H276" i="2" s="1"/>
  <c r="D277" i="2" s="1"/>
  <c r="F277" i="2" l="1"/>
  <c r="E277" i="2" s="1"/>
  <c r="G277" i="2" s="1"/>
  <c r="H277" i="2" s="1"/>
  <c r="D278" i="2" s="1"/>
  <c r="F278" i="2" l="1"/>
  <c r="E278" i="2" s="1"/>
  <c r="G278" i="2" s="1"/>
  <c r="H278" i="2" s="1"/>
  <c r="D279" i="2" s="1"/>
  <c r="F279" i="2" l="1"/>
  <c r="E279" i="2" s="1"/>
  <c r="G279" i="2" s="1"/>
  <c r="H279" i="2" s="1"/>
  <c r="D280" i="2" s="1"/>
  <c r="F280" i="2" l="1"/>
  <c r="E280" i="2"/>
  <c r="G280" i="2" s="1"/>
  <c r="H280" i="2" s="1"/>
  <c r="D281" i="2" s="1"/>
  <c r="F281" i="2" l="1"/>
  <c r="E281" i="2" s="1"/>
  <c r="G281" i="2" s="1"/>
  <c r="H281" i="2" s="1"/>
  <c r="D282" i="2" s="1"/>
  <c r="F282" i="2" l="1"/>
  <c r="E282" i="2"/>
  <c r="G282" i="2" s="1"/>
  <c r="H282" i="2" s="1"/>
  <c r="D283" i="2" s="1"/>
  <c r="F283" i="2" l="1"/>
  <c r="E283" i="2"/>
  <c r="G283" i="2" s="1"/>
  <c r="H283" i="2" s="1"/>
  <c r="D284" i="2" s="1"/>
  <c r="F284" i="2" l="1"/>
  <c r="E284" i="2"/>
  <c r="G284" i="2" s="1"/>
  <c r="H284" i="2" s="1"/>
  <c r="D285" i="2" s="1"/>
  <c r="F285" i="2" l="1"/>
  <c r="E285" i="2" s="1"/>
  <c r="G285" i="2" s="1"/>
  <c r="H285" i="2" s="1"/>
  <c r="D286" i="2" s="1"/>
  <c r="F286" i="2" l="1"/>
  <c r="E286" i="2"/>
  <c r="G286" i="2" s="1"/>
  <c r="H286" i="2" s="1"/>
  <c r="D287" i="2" s="1"/>
  <c r="F287" i="2" l="1"/>
  <c r="E287" i="2" s="1"/>
  <c r="G287" i="2" s="1"/>
  <c r="H287" i="2" s="1"/>
  <c r="D288" i="2" s="1"/>
  <c r="F288" i="2" l="1"/>
  <c r="E288" i="2"/>
  <c r="G288" i="2" s="1"/>
  <c r="H288" i="2" s="1"/>
  <c r="D289" i="2" s="1"/>
  <c r="F289" i="2" l="1"/>
  <c r="E289" i="2"/>
  <c r="G289" i="2" s="1"/>
  <c r="H289" i="2" s="1"/>
  <c r="D290" i="2" s="1"/>
  <c r="F290" i="2" l="1"/>
  <c r="E290" i="2" s="1"/>
  <c r="G290" i="2" s="1"/>
  <c r="H290" i="2" s="1"/>
  <c r="D291" i="2" s="1"/>
  <c r="F291" i="2" l="1"/>
  <c r="E291" i="2"/>
  <c r="G291" i="2" s="1"/>
  <c r="H291" i="2" s="1"/>
  <c r="D292" i="2" s="1"/>
  <c r="F292" i="2" l="1"/>
  <c r="E292" i="2" s="1"/>
  <c r="G292" i="2" s="1"/>
  <c r="H292" i="2" s="1"/>
  <c r="D293" i="2" s="1"/>
  <c r="F293" i="2" l="1"/>
  <c r="E293" i="2" s="1"/>
  <c r="G293" i="2" s="1"/>
  <c r="H293" i="2" s="1"/>
  <c r="D294" i="2" s="1"/>
  <c r="F294" i="2" l="1"/>
  <c r="E294" i="2" s="1"/>
  <c r="G294" i="2" s="1"/>
  <c r="H294" i="2" s="1"/>
  <c r="D295" i="2" s="1"/>
  <c r="F295" i="2" l="1"/>
  <c r="E295" i="2"/>
  <c r="G295" i="2" s="1"/>
  <c r="H295" i="2" s="1"/>
  <c r="D296" i="2" s="1"/>
  <c r="F296" i="2" l="1"/>
  <c r="E296" i="2"/>
  <c r="G296" i="2" s="1"/>
  <c r="H296" i="2" s="1"/>
  <c r="D297" i="2" s="1"/>
  <c r="F297" i="2" l="1"/>
  <c r="E297" i="2"/>
  <c r="G297" i="2" s="1"/>
  <c r="H297" i="2" s="1"/>
  <c r="D298" i="2" s="1"/>
  <c r="F298" i="2" l="1"/>
  <c r="E298" i="2"/>
  <c r="G298" i="2" s="1"/>
  <c r="H298" i="2" s="1"/>
  <c r="D299" i="2" s="1"/>
  <c r="F299" i="2" l="1"/>
  <c r="E299" i="2"/>
  <c r="G299" i="2" s="1"/>
  <c r="H299" i="2" s="1"/>
  <c r="D300" i="2" s="1"/>
  <c r="F300" i="2" l="1"/>
  <c r="E300" i="2"/>
  <c r="G300" i="2" s="1"/>
  <c r="H300" i="2" s="1"/>
  <c r="D301" i="2" s="1"/>
  <c r="F301" i="2" l="1"/>
  <c r="E301" i="2" s="1"/>
  <c r="G301" i="2" s="1"/>
  <c r="H301" i="2" s="1"/>
  <c r="D302" i="2" s="1"/>
  <c r="F302" i="2" l="1"/>
  <c r="E302" i="2" s="1"/>
  <c r="G302" i="2" s="1"/>
  <c r="H302" i="2" s="1"/>
  <c r="D303" i="2" s="1"/>
  <c r="F303" i="2" l="1"/>
  <c r="E303" i="2" s="1"/>
  <c r="G303" i="2" s="1"/>
  <c r="H303" i="2" s="1"/>
  <c r="D304" i="2" s="1"/>
  <c r="F304" i="2" l="1"/>
  <c r="E304" i="2"/>
  <c r="G304" i="2" s="1"/>
  <c r="H304" i="2" s="1"/>
  <c r="D305" i="2" s="1"/>
  <c r="F305" i="2" l="1"/>
  <c r="E305" i="2"/>
  <c r="G305" i="2" s="1"/>
  <c r="H305" i="2" s="1"/>
  <c r="D306" i="2" s="1"/>
  <c r="F306" i="2" l="1"/>
  <c r="E306" i="2" s="1"/>
  <c r="G306" i="2" s="1"/>
  <c r="H306" i="2" s="1"/>
  <c r="D307" i="2" s="1"/>
  <c r="F307" i="2" l="1"/>
  <c r="E307" i="2"/>
  <c r="G307" i="2" s="1"/>
  <c r="H307" i="2" s="1"/>
  <c r="D308" i="2" s="1"/>
  <c r="F308" i="2" l="1"/>
  <c r="E308" i="2" s="1"/>
  <c r="G308" i="2" s="1"/>
  <c r="H308" i="2" s="1"/>
  <c r="D309" i="2" s="1"/>
  <c r="F309" i="2" l="1"/>
  <c r="E309" i="2" s="1"/>
  <c r="G309" i="2" s="1"/>
  <c r="H309" i="2" s="1"/>
  <c r="D310" i="2" s="1"/>
  <c r="F310" i="2" l="1"/>
  <c r="E310" i="2"/>
  <c r="G310" i="2" s="1"/>
  <c r="H310" i="2" s="1"/>
  <c r="D311" i="2" s="1"/>
  <c r="F311" i="2" l="1"/>
  <c r="E311" i="2" s="1"/>
  <c r="G311" i="2" s="1"/>
  <c r="H311" i="2" s="1"/>
  <c r="D312" i="2" s="1"/>
  <c r="F312" i="2" l="1"/>
  <c r="E312" i="2"/>
  <c r="G312" i="2" s="1"/>
  <c r="H312" i="2" s="1"/>
  <c r="D313" i="2" s="1"/>
  <c r="F313" i="2" l="1"/>
  <c r="E313" i="2"/>
  <c r="G313" i="2" s="1"/>
  <c r="H313" i="2" s="1"/>
  <c r="D314" i="2" s="1"/>
  <c r="F314" i="2" l="1"/>
  <c r="E314" i="2" s="1"/>
  <c r="G314" i="2" s="1"/>
  <c r="H314" i="2" s="1"/>
  <c r="D315" i="2" s="1"/>
  <c r="F315" i="2" l="1"/>
  <c r="E315" i="2"/>
  <c r="G315" i="2" s="1"/>
  <c r="H315" i="2" s="1"/>
  <c r="D316" i="2" s="1"/>
  <c r="F316" i="2" l="1"/>
  <c r="E316" i="2" s="1"/>
  <c r="G316" i="2" s="1"/>
  <c r="H316" i="2" s="1"/>
  <c r="D317" i="2" s="1"/>
  <c r="F317" i="2" l="1"/>
  <c r="E317" i="2" s="1"/>
  <c r="G317" i="2" s="1"/>
  <c r="H317" i="2" s="1"/>
  <c r="D318" i="2" s="1"/>
  <c r="F318" i="2" l="1"/>
  <c r="E318" i="2" s="1"/>
  <c r="G318" i="2" s="1"/>
  <c r="H318" i="2" s="1"/>
  <c r="D319" i="2" s="1"/>
  <c r="F319" i="2" l="1"/>
  <c r="E319" i="2"/>
  <c r="G319" i="2" s="1"/>
  <c r="H319" i="2" s="1"/>
  <c r="D320" i="2" s="1"/>
  <c r="F320" i="2" l="1"/>
  <c r="E320" i="2"/>
  <c r="G320" i="2" s="1"/>
  <c r="H320" i="2" s="1"/>
  <c r="D321" i="2" s="1"/>
  <c r="F321" i="2" l="1"/>
  <c r="E321" i="2"/>
  <c r="G321" i="2" s="1"/>
  <c r="H321" i="2" s="1"/>
  <c r="D322" i="2" s="1"/>
  <c r="F322" i="2" l="1"/>
  <c r="E322" i="2"/>
  <c r="G322" i="2" s="1"/>
  <c r="H322" i="2" s="1"/>
  <c r="D323" i="2" s="1"/>
  <c r="F323" i="2" l="1"/>
  <c r="E323" i="2"/>
  <c r="G323" i="2" s="1"/>
  <c r="H323" i="2" s="1"/>
  <c r="D324" i="2" s="1"/>
  <c r="F324" i="2" l="1"/>
  <c r="E324" i="2"/>
  <c r="G324" i="2" s="1"/>
  <c r="H324" i="2" s="1"/>
  <c r="D325" i="2" s="1"/>
  <c r="F325" i="2" l="1"/>
  <c r="E325" i="2" s="1"/>
  <c r="G325" i="2" s="1"/>
  <c r="H325" i="2" s="1"/>
  <c r="D326" i="2" s="1"/>
  <c r="F326" i="2" l="1"/>
  <c r="E326" i="2"/>
  <c r="G326" i="2" s="1"/>
  <c r="H326" i="2" s="1"/>
  <c r="D327" i="2" s="1"/>
  <c r="F327" i="2" l="1"/>
  <c r="E327" i="2" s="1"/>
  <c r="G327" i="2" s="1"/>
  <c r="H327" i="2" s="1"/>
  <c r="D328" i="2" s="1"/>
  <c r="F328" i="2" l="1"/>
  <c r="E328" i="2" s="1"/>
  <c r="G328" i="2" s="1"/>
  <c r="H328" i="2" s="1"/>
  <c r="D329" i="2" s="1"/>
  <c r="F329" i="2" l="1"/>
  <c r="E329" i="2"/>
  <c r="G329" i="2" s="1"/>
  <c r="H329" i="2" s="1"/>
  <c r="D330" i="2" s="1"/>
  <c r="H330" i="2" l="1"/>
  <c r="D331" i="2" s="1"/>
  <c r="F330" i="2"/>
  <c r="E330" i="2"/>
  <c r="G330" i="2" s="1"/>
  <c r="F331" i="2" l="1"/>
  <c r="E331" i="2"/>
  <c r="G331" i="2" s="1"/>
  <c r="H331" i="2" s="1"/>
  <c r="D332" i="2" s="1"/>
  <c r="F332" i="2" l="1"/>
  <c r="E332" i="2"/>
  <c r="G332" i="2" s="1"/>
  <c r="H332" i="2" s="1"/>
  <c r="D333" i="2" s="1"/>
  <c r="F333" i="2" l="1"/>
  <c r="E333" i="2" s="1"/>
  <c r="G333" i="2" s="1"/>
  <c r="H333" i="2" s="1"/>
  <c r="D334" i="2" s="1"/>
  <c r="H334" i="2" l="1"/>
  <c r="D335" i="2" s="1"/>
  <c r="F334" i="2"/>
  <c r="E334" i="2"/>
  <c r="G334" i="2" s="1"/>
  <c r="F335" i="2" l="1"/>
  <c r="E335" i="2" s="1"/>
  <c r="G335" i="2" s="1"/>
  <c r="H335" i="2" s="1"/>
  <c r="D336" i="2" s="1"/>
  <c r="E336" i="2" l="1"/>
  <c r="G336" i="2" s="1"/>
  <c r="H336" i="2" s="1"/>
  <c r="D337" i="2" s="1"/>
  <c r="F336" i="2"/>
  <c r="F337" i="2" l="1"/>
  <c r="E337" i="2"/>
  <c r="G337" i="2" s="1"/>
  <c r="H337" i="2" s="1"/>
  <c r="D338" i="2" s="1"/>
  <c r="F338" i="2" l="1"/>
  <c r="E338" i="2" s="1"/>
  <c r="G338" i="2" s="1"/>
  <c r="H338" i="2" s="1"/>
  <c r="D339" i="2" s="1"/>
  <c r="F339" i="2" l="1"/>
  <c r="E339" i="2"/>
  <c r="G339" i="2" s="1"/>
  <c r="H339" i="2" s="1"/>
  <c r="D340" i="2" s="1"/>
  <c r="H340" i="2" l="1"/>
  <c r="D341" i="2" s="1"/>
  <c r="F340" i="2"/>
  <c r="E340" i="2"/>
  <c r="G340" i="2" s="1"/>
  <c r="E341" i="2" l="1"/>
  <c r="G341" i="2" s="1"/>
  <c r="H341" i="2" s="1"/>
  <c r="D342" i="2" s="1"/>
  <c r="F341" i="2"/>
  <c r="F342" i="2" l="1"/>
  <c r="E342" i="2" s="1"/>
  <c r="G342" i="2" s="1"/>
  <c r="H342" i="2" s="1"/>
  <c r="D343" i="2" s="1"/>
  <c r="H343" i="2" l="1"/>
  <c r="D344" i="2" s="1"/>
  <c r="F343" i="2"/>
  <c r="E343" i="2"/>
  <c r="G343" i="2" s="1"/>
  <c r="E344" i="2" l="1"/>
  <c r="G344" i="2" s="1"/>
  <c r="H344" i="2" s="1"/>
  <c r="D345" i="2" s="1"/>
  <c r="F344" i="2"/>
  <c r="F345" i="2" l="1"/>
  <c r="E345" i="2" s="1"/>
  <c r="G345" i="2" s="1"/>
  <c r="H345" i="2" s="1"/>
  <c r="D346" i="2" s="1"/>
  <c r="F346" i="2" l="1"/>
  <c r="E346" i="2" s="1"/>
  <c r="G346" i="2" s="1"/>
  <c r="H346" i="2" s="1"/>
  <c r="D347" i="2" s="1"/>
  <c r="F347" i="2" l="1"/>
  <c r="E347" i="2" s="1"/>
  <c r="G347" i="2" s="1"/>
  <c r="H347" i="2" s="1"/>
  <c r="D348" i="2" s="1"/>
  <c r="F348" i="2" l="1"/>
  <c r="E348" i="2"/>
  <c r="G348" i="2" s="1"/>
  <c r="H348" i="2" s="1"/>
  <c r="D349" i="2" s="1"/>
  <c r="F349" i="2" l="1"/>
  <c r="E349" i="2"/>
  <c r="G349" i="2" s="1"/>
  <c r="H349" i="2" s="1"/>
  <c r="D350" i="2" s="1"/>
  <c r="F350" i="2" l="1"/>
  <c r="E350" i="2" s="1"/>
  <c r="G350" i="2" s="1"/>
  <c r="H350" i="2" s="1"/>
  <c r="D351" i="2" s="1"/>
  <c r="F351" i="2" l="1"/>
  <c r="E351" i="2"/>
  <c r="G351" i="2" s="1"/>
  <c r="H351" i="2" s="1"/>
  <c r="D352" i="2" s="1"/>
  <c r="F352" i="2" l="1"/>
  <c r="E352" i="2"/>
  <c r="G352" i="2" s="1"/>
  <c r="H352" i="2" s="1"/>
  <c r="D353" i="2" s="1"/>
  <c r="H353" i="2" l="1"/>
  <c r="D354" i="2" s="1"/>
  <c r="F353" i="2"/>
  <c r="E353" i="2"/>
  <c r="G353" i="2" s="1"/>
  <c r="F354" i="2" l="1"/>
  <c r="E354" i="2" s="1"/>
  <c r="G354" i="2" s="1"/>
  <c r="H354" i="2" s="1"/>
  <c r="D355" i="2" s="1"/>
  <c r="F355" i="2" l="1"/>
  <c r="E355" i="2"/>
  <c r="G355" i="2" s="1"/>
  <c r="H355" i="2" s="1"/>
  <c r="D356" i="2" s="1"/>
  <c r="F356" i="2" l="1"/>
  <c r="E356" i="2" s="1"/>
  <c r="G356" i="2" s="1"/>
  <c r="H356" i="2" s="1"/>
  <c r="D357" i="2" s="1"/>
  <c r="E357" i="2" l="1"/>
  <c r="G357" i="2" s="1"/>
  <c r="H357" i="2" s="1"/>
  <c r="D358" i="2" s="1"/>
  <c r="F357" i="2"/>
  <c r="F358" i="2" l="1"/>
  <c r="E358" i="2"/>
  <c r="G358" i="2" s="1"/>
  <c r="H358" i="2" s="1"/>
  <c r="D359" i="2" s="1"/>
  <c r="F359" i="2" l="1"/>
  <c r="E359" i="2" s="1"/>
  <c r="G359" i="2" s="1"/>
  <c r="H359" i="2" s="1"/>
  <c r="D360" i="2" s="1"/>
  <c r="F360" i="2" l="1"/>
  <c r="E360" i="2"/>
  <c r="G360" i="2" s="1"/>
  <c r="H360" i="2" s="1"/>
  <c r="D361" i="2" s="1"/>
  <c r="F361" i="2" l="1"/>
  <c r="E361" i="2"/>
  <c r="G361" i="2" s="1"/>
  <c r="H361" i="2" s="1"/>
  <c r="D362" i="2" s="1"/>
  <c r="E362" i="2" l="1"/>
  <c r="G362" i="2" s="1"/>
  <c r="H362" i="2" s="1"/>
  <c r="D363" i="2" s="1"/>
  <c r="F362" i="2"/>
  <c r="F363" i="2" l="1"/>
  <c r="E363" i="2" s="1"/>
  <c r="G363" i="2" s="1"/>
  <c r="H363" i="2" s="1"/>
  <c r="D364" i="2" s="1"/>
  <c r="H364" i="2" l="1"/>
  <c r="D365" i="2" s="1"/>
  <c r="F364" i="2"/>
  <c r="E364" i="2"/>
  <c r="G364" i="2" s="1"/>
  <c r="F365" i="2" l="1"/>
  <c r="E365" i="2"/>
  <c r="G365" i="2" s="1"/>
  <c r="H365" i="2" s="1"/>
  <c r="D366" i="2" s="1"/>
  <c r="F366" i="2" l="1"/>
  <c r="E366" i="2"/>
  <c r="G366" i="2" s="1"/>
  <c r="H366" i="2" s="1"/>
  <c r="D367" i="2" s="1"/>
  <c r="F367" i="2" l="1"/>
  <c r="E367" i="2" s="1"/>
  <c r="G367" i="2" s="1"/>
  <c r="H367" i="2" s="1"/>
</calcChain>
</file>

<file path=xl/sharedStrings.xml><?xml version="1.0" encoding="utf-8"?>
<sst xmlns="http://schemas.openxmlformats.org/spreadsheetml/2006/main" count="43" uniqueCount="43">
  <si>
    <t>DSCR Loan Calculator</t>
  </si>
  <si>
    <t>Estimate your Debt Service Coverage Ratio, monthly cash flow, and loan payment</t>
  </si>
  <si>
    <t>PROPERTY &amp; LOAN DETAILS</t>
  </si>
  <si>
    <t>Purchase Price ($)</t>
  </si>
  <si>
    <t>Down Payment (%)</t>
  </si>
  <si>
    <t>Interest Rate (annual %)</t>
  </si>
  <si>
    <t>Loan Term (years)</t>
  </si>
  <si>
    <t>Loan Amount (calculated)</t>
  </si>
  <si>
    <t>MONTHLY RENTAL INCOME</t>
  </si>
  <si>
    <t>Gross Monthly Rental Income ($)</t>
  </si>
  <si>
    <t>Vacancy Factor (%)</t>
  </si>
  <si>
    <t>Effective Monthly Rental Income</t>
  </si>
  <si>
    <t>MONTHLY PROPERTY EXPENSES (excluding Principal &amp; Interest)</t>
  </si>
  <si>
    <t>Property Taxes ($/month)</t>
  </si>
  <si>
    <t>Property Insurance ($/month)</t>
  </si>
  <si>
    <t>HOA Dues ($/month)</t>
  </si>
  <si>
    <t>Total Monthly Escrow/Expenses (PITIA)</t>
  </si>
  <si>
    <t>MONTHLY PAYMENT &amp; DSCR RESULTS</t>
  </si>
  <si>
    <t>Monthly Principal &amp; Interest (P&amp;I)</t>
  </si>
  <si>
    <t>Total Monthly Debt Service (PITIA)</t>
  </si>
  <si>
    <t>Net Monthly Cash Flow (Income - PITIA)</t>
  </si>
  <si>
    <t xml:space="preserve">NOI - Annual Net Operating Income </t>
  </si>
  <si>
    <t>Annual Debt Service (PITIA x 12)</t>
  </si>
  <si>
    <t>DSCR RATIO</t>
  </si>
  <si>
    <t>WHAT THIS MEANS</t>
  </si>
  <si>
    <t>How to use this sheet</t>
  </si>
  <si>
    <t>• Yellow cells are the only cells you need to edit — everything else calculates automatically.</t>
  </si>
  <si>
    <t>• DSCR = Annual Net Operating Income ÷ Annual Debt Service. Most lenders look for 1.00x–1.25x; some programs allow 0.75x or “no-ratio” qualification.</t>
  </si>
  <si>
    <t>• This is an educational estimate only, not a loan quote or commitment. Actual underwriting varies by lender, program, and property.</t>
  </si>
  <si>
    <t>• See the ‘Amortization Schedule’ tab for the full month-by-month principal and interest breakdown on this loan.</t>
  </si>
  <si>
    <t>Monthly Amortization Schedule</t>
  </si>
  <si>
    <t>Linked to the loan amount, rate, and term entered on the DSCR Calculator tab</t>
  </si>
  <si>
    <t>Loan Amount</t>
  </si>
  <si>
    <t>Interest Rate</t>
  </si>
  <si>
    <t>Term (yrs)</t>
  </si>
  <si>
    <t>Monthly P&amp;I</t>
  </si>
  <si>
    <t>Month #</t>
  </si>
  <si>
    <t>Payment Date</t>
  </si>
  <si>
    <t>Beginning Balance</t>
  </si>
  <si>
    <t>Monthly Payment</t>
  </si>
  <si>
    <t>Interest</t>
  </si>
  <si>
    <t>Principal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</si>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</sst>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"/>
    <numFmt numFmtId="165" formatCode="0.0%"/>
    <numFmt numFmtId="166" formatCode="\$#,##0.00"/>
    <numFmt numFmtId="167" formatCode="0.00\x"/>
    <numFmt numFmtId="168" formatCode="mmm\-yyyy"/>
  </numFmts>
  <fonts count="11" x14ac:knownFonts="1">
    <font>
      <sz val="11"/>
      <color theme="1"/>
      <name val="Calibri"/>
      <family val="2"/>
      <charset val="1"/>
    </font>
    <font>
      <b/>
      <sz val="16"/>
      <color rgb="FFFFFFFF"/>
      <name val="Arial"/>
      <charset val="1"/>
    </font>
    <font>
      <i/>
      <sz val="10"/>
      <color rgb="FFFFFFFF"/>
      <name val="Arial"/>
      <charset val="1"/>
    </font>
    <font>
      <b/>
      <sz val="12"/>
      <color rgb="FFFFFFFF"/>
      <name val="Arial"/>
      <charset val="1"/>
    </font>
    <font>
      <sz val="10"/>
      <name val="Arial"/>
      <charset val="1"/>
    </font>
    <font>
      <b/>
      <sz val="10"/>
      <color rgb="FF0000FF"/>
      <name val="Arial"/>
      <charset val="1"/>
    </font>
    <font>
      <b/>
      <sz val="10"/>
      <name val="Arial"/>
      <charset val="1"/>
    </font>
    <font>
      <b/>
      <sz val="10"/>
      <color rgb="FF000000"/>
      <name val="Arial"/>
      <charset val="1"/>
    </font>
    <font>
      <b/>
      <sz val="20"/>
      <color rgb="FF1B2A41"/>
      <name val="Arial"/>
      <charset val="1"/>
    </font>
    <font>
      <b/>
      <sz val="10"/>
      <color rgb="FFFFFFFF"/>
      <name val="Arial"/>
      <charset val="1"/>
    </font>
    <font>
      <i/>
      <sz val="9"/>
      <color rgb="FF666666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1B2A41"/>
        <bgColor rgb="FF333300"/>
      </patternFill>
    </fill>
    <fill>
      <patternFill patternType="solid">
        <fgColor rgb="FF004E5F"/>
        <bgColor rgb="FF1B2A41"/>
      </patternFill>
    </fill>
    <fill>
      <patternFill patternType="solid">
        <fgColor rgb="FFF2E8D9"/>
        <bgColor rgb="FFD9E4E7"/>
      </patternFill>
    </fill>
    <fill>
      <patternFill patternType="solid">
        <fgColor rgb="FFD9E4E7"/>
        <bgColor rgb="FFF2E8D9"/>
      </patternFill>
    </fill>
    <fill>
      <patternFill patternType="solid">
        <fgColor rgb="FFC08A43"/>
        <bgColor rgb="FFFF8080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167" fontId="8" fillId="6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4" fillId="0" borderId="0" xfId="0" applyFont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1" fontId="5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7" fillId="5" borderId="1" xfId="0" applyNumberFormat="1" applyFont="1" applyFill="1" applyBorder="1" applyAlignment="1">
      <alignment horizontal="right" vertical="center"/>
    </xf>
    <xf numFmtId="166" fontId="7" fillId="5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/>
    </xf>
    <xf numFmtId="165" fontId="7" fillId="5" borderId="1" xfId="0" applyNumberFormat="1" applyFont="1" applyFill="1" applyBorder="1" applyAlignment="1">
      <alignment horizontal="right" vertical="center"/>
    </xf>
    <xf numFmtId="1" fontId="7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2E8D9"/>
      <rgbColor rgb="FFCCFFFF"/>
      <rgbColor rgb="FF660066"/>
      <rgbColor rgb="FFFF8080"/>
      <rgbColor rgb="FF0066CC"/>
      <rgbColor rgb="FFD9E4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C08A43"/>
      <rgbColor rgb="FF004E5F"/>
      <rgbColor rgb="FF339966"/>
      <rgbColor rgb="FF003300"/>
      <rgbColor rgb="FF333300"/>
      <rgbColor rgb="FF993300"/>
      <rgbColor rgb="FF993366"/>
      <rgbColor rgb="FF333399"/>
      <rgbColor rgb="FF1B2A4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98714</xdr:colOff>
      <xdr:row>0</xdr:row>
      <xdr:rowOff>114300</xdr:rowOff>
    </xdr:from>
    <xdr:to>
      <xdr:col>1</xdr:col>
      <xdr:colOff>790575</xdr:colOff>
      <xdr:row>1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1AE67B-CC55-0E9B-84B9-1579D51E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14" y="114300"/>
          <a:ext cx="891886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123825</xdr:rowOff>
    </xdr:from>
    <xdr:to>
      <xdr:col>2</xdr:col>
      <xdr:colOff>482311</xdr:colOff>
      <xdr:row>1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47D194-AE71-4A60-8C00-D2B1F0C41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23825"/>
          <a:ext cx="891886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showGridLines="0" tabSelected="1" zoomScaleNormal="100" workbookViewId="0">
      <selection activeCell="K23" sqref="K23"/>
    </sheetView>
  </sheetViews>
  <sheetFormatPr defaultColWidth="8.7109375" defaultRowHeight="15" x14ac:dyDescent="0.25"/>
  <cols>
    <col min="1" max="1" width="3" customWidth="1"/>
    <col min="2" max="2" width="41.42578125" customWidth="1"/>
    <col min="3" max="3" width="18" customWidth="1"/>
    <col min="4" max="4" width="4" customWidth="1"/>
    <col min="5" max="5" width="36" customWidth="1"/>
    <col min="6" max="6" width="18" customWidth="1"/>
    <col min="7" max="7" width="3" customWidth="1"/>
  </cols>
  <sheetData>
    <row r="1" spans="1:7" ht="54.75" customHeight="1" x14ac:dyDescent="0.25">
      <c r="A1" s="9"/>
      <c r="B1" s="10"/>
      <c r="C1" s="8" t="s">
        <v>0</v>
      </c>
      <c r="D1" s="8"/>
      <c r="E1" s="8"/>
      <c r="F1" s="8"/>
      <c r="G1" s="8"/>
    </row>
    <row r="2" spans="1:7" ht="18" customHeight="1" x14ac:dyDescent="0.25">
      <c r="A2" s="7" t="s">
        <v>1</v>
      </c>
      <c r="B2" s="7"/>
      <c r="C2" s="7"/>
      <c r="D2" s="7"/>
      <c r="E2" s="7"/>
      <c r="F2" s="7"/>
      <c r="G2" s="7"/>
    </row>
    <row r="3" spans="1:7" ht="6" customHeight="1" x14ac:dyDescent="0.25"/>
    <row r="4" spans="1:7" ht="19.5" customHeight="1" x14ac:dyDescent="0.25">
      <c r="B4" s="6" t="s">
        <v>2</v>
      </c>
      <c r="C4" s="6"/>
      <c r="D4" s="6"/>
      <c r="E4" s="6"/>
      <c r="F4" s="6"/>
    </row>
    <row r="5" spans="1:7" x14ac:dyDescent="0.25">
      <c r="B5" s="11" t="s">
        <v>3</v>
      </c>
      <c r="C5" s="12">
        <v>350000</v>
      </c>
    </row>
    <row r="6" spans="1:7" x14ac:dyDescent="0.25">
      <c r="B6" s="11" t="s">
        <v>4</v>
      </c>
      <c r="C6" s="13">
        <v>0.25</v>
      </c>
    </row>
    <row r="7" spans="1:7" x14ac:dyDescent="0.25">
      <c r="B7" s="11" t="s">
        <v>5</v>
      </c>
      <c r="C7" s="13">
        <v>7.0000000000000007E-2</v>
      </c>
    </row>
    <row r="8" spans="1:7" x14ac:dyDescent="0.25">
      <c r="B8" s="11" t="s">
        <v>6</v>
      </c>
      <c r="C8" s="14">
        <v>30</v>
      </c>
    </row>
    <row r="9" spans="1:7" x14ac:dyDescent="0.25">
      <c r="B9" s="15" t="s">
        <v>7</v>
      </c>
      <c r="C9" s="16">
        <f>C5*(1-C6)</f>
        <v>262500</v>
      </c>
    </row>
    <row r="10" spans="1:7" ht="6" customHeight="1" x14ac:dyDescent="0.25"/>
    <row r="11" spans="1:7" ht="19.5" customHeight="1" x14ac:dyDescent="0.25">
      <c r="B11" s="6" t="s">
        <v>8</v>
      </c>
      <c r="C11" s="6"/>
      <c r="D11" s="6"/>
      <c r="E11" s="6"/>
      <c r="F11" s="6"/>
    </row>
    <row r="12" spans="1:7" x14ac:dyDescent="0.25">
      <c r="B12" s="11" t="s">
        <v>9</v>
      </c>
      <c r="C12" s="12">
        <v>3200</v>
      </c>
    </row>
    <row r="13" spans="1:7" x14ac:dyDescent="0.25">
      <c r="B13" s="11" t="s">
        <v>10</v>
      </c>
      <c r="C13" s="13">
        <v>0.05</v>
      </c>
    </row>
    <row r="14" spans="1:7" x14ac:dyDescent="0.25">
      <c r="B14" s="15" t="s">
        <v>11</v>
      </c>
      <c r="C14" s="17">
        <f>C12*(1-C13)</f>
        <v>3040</v>
      </c>
    </row>
    <row r="15" spans="1:7" ht="6" customHeight="1" x14ac:dyDescent="0.25"/>
    <row r="16" spans="1:7" ht="19.5" customHeight="1" x14ac:dyDescent="0.25">
      <c r="B16" s="6" t="s">
        <v>12</v>
      </c>
      <c r="C16" s="6"/>
      <c r="D16" s="6"/>
      <c r="E16" s="6"/>
      <c r="F16" s="6"/>
    </row>
    <row r="17" spans="2:6" x14ac:dyDescent="0.25">
      <c r="B17" s="11" t="s">
        <v>13</v>
      </c>
      <c r="C17" s="12">
        <v>350</v>
      </c>
    </row>
    <row r="18" spans="2:6" x14ac:dyDescent="0.25">
      <c r="B18" s="11" t="s">
        <v>14</v>
      </c>
      <c r="C18" s="12">
        <v>150</v>
      </c>
    </row>
    <row r="19" spans="2:6" x14ac:dyDescent="0.25">
      <c r="B19" s="11" t="s">
        <v>15</v>
      </c>
      <c r="C19" s="12">
        <f>300/12</f>
        <v>25</v>
      </c>
    </row>
    <row r="20" spans="2:6" x14ac:dyDescent="0.25">
      <c r="B20" s="15" t="s">
        <v>16</v>
      </c>
      <c r="C20" s="17">
        <f>SUM(C17:C19)</f>
        <v>525</v>
      </c>
    </row>
    <row r="21" spans="2:6" ht="6" customHeight="1" x14ac:dyDescent="0.25"/>
    <row r="22" spans="2:6" ht="19.5" customHeight="1" x14ac:dyDescent="0.25">
      <c r="B22" s="6" t="s">
        <v>17</v>
      </c>
      <c r="C22" s="6"/>
      <c r="D22" s="6"/>
      <c r="E22" s="6"/>
      <c r="F22" s="6"/>
    </row>
    <row r="23" spans="2:6" x14ac:dyDescent="0.25">
      <c r="B23" s="15" t="s">
        <v>18</v>
      </c>
      <c r="C23" s="17">
        <f>IF(C7=0,C9/(C8*12),(C9*(C7/12))/(1-(1+C7/12)^(-C8*12)))</f>
        <v>1746.4190498453543</v>
      </c>
    </row>
    <row r="24" spans="2:6" x14ac:dyDescent="0.25">
      <c r="B24" s="15" t="s">
        <v>19</v>
      </c>
      <c r="C24" s="17">
        <f>C23+C20</f>
        <v>2271.4190498453545</v>
      </c>
    </row>
    <row r="25" spans="2:6" x14ac:dyDescent="0.25">
      <c r="B25" s="15" t="s">
        <v>20</v>
      </c>
      <c r="C25" s="17">
        <f>C14-C24</f>
        <v>768.58095015464551</v>
      </c>
    </row>
    <row r="26" spans="2:6" x14ac:dyDescent="0.25">
      <c r="B26" s="11" t="s">
        <v>21</v>
      </c>
      <c r="C26" s="18">
        <f>C14*12</f>
        <v>36480</v>
      </c>
    </row>
    <row r="27" spans="2:6" x14ac:dyDescent="0.25">
      <c r="B27" s="11" t="s">
        <v>22</v>
      </c>
      <c r="C27" s="18">
        <f>C24*12</f>
        <v>27257.028598144254</v>
      </c>
    </row>
    <row r="28" spans="2:6" ht="7.5" customHeight="1" x14ac:dyDescent="0.25"/>
    <row r="29" spans="2:6" ht="15.75" customHeight="1" x14ac:dyDescent="0.25">
      <c r="B29" s="7" t="s">
        <v>23</v>
      </c>
      <c r="C29" s="7"/>
      <c r="D29" s="5" t="s">
        <v>24</v>
      </c>
      <c r="E29" s="5"/>
      <c r="F29" s="5"/>
    </row>
    <row r="30" spans="2:6" ht="30" customHeight="1" x14ac:dyDescent="0.25">
      <c r="B30" s="4">
        <f>C26/C27</f>
        <v>1.3383703901783217</v>
      </c>
      <c r="C30" s="4"/>
      <c r="D30" s="3" t="str">
        <f>IF(B30&gt;=1.25,"Strong: rental income comfortably covers the loan payment.",IF(B30&gt;=1,"Qualifying: income covers the debt service.",IF(B30&gt;=0.75,"Below 1.0 — may still qualify under low-DSCR / no-ratio programs, often with a rate adjustment.","Well below 1.0 — unlikely to qualify without a larger down payment or higher rent.")))</f>
        <v>Strong: rental income comfortably covers the loan payment.</v>
      </c>
      <c r="E30" s="3"/>
      <c r="F30" s="3"/>
    </row>
    <row r="31" spans="2:6" ht="30" customHeight="1" x14ac:dyDescent="0.25">
      <c r="B31" s="4"/>
      <c r="C31" s="4"/>
      <c r="D31" s="3"/>
      <c r="E31" s="3"/>
      <c r="F31" s="3"/>
    </row>
    <row r="32" spans="2:6" ht="6" customHeight="1" x14ac:dyDescent="0.25"/>
    <row r="33" spans="2:6" x14ac:dyDescent="0.25">
      <c r="B33" s="2" t="s">
        <v>25</v>
      </c>
      <c r="C33" s="2"/>
      <c r="D33" s="2"/>
      <c r="E33" s="2"/>
      <c r="F33" s="2"/>
    </row>
    <row r="34" spans="2:6" ht="25.5" customHeight="1" x14ac:dyDescent="0.25">
      <c r="B34" s="1" t="s">
        <v>26</v>
      </c>
      <c r="C34" s="1"/>
      <c r="D34" s="1"/>
      <c r="E34" s="1"/>
      <c r="F34" s="1"/>
    </row>
    <row r="35" spans="2:6" ht="25.5" customHeight="1" x14ac:dyDescent="0.25">
      <c r="B35" s="1" t="s">
        <v>27</v>
      </c>
      <c r="C35" s="1"/>
      <c r="D35" s="1"/>
      <c r="E35" s="1"/>
      <c r="F35" s="1"/>
    </row>
    <row r="36" spans="2:6" ht="25.5" customHeight="1" x14ac:dyDescent="0.25">
      <c r="B36" s="1" t="s">
        <v>28</v>
      </c>
      <c r="C36" s="1"/>
      <c r="D36" s="1"/>
      <c r="E36" s="1"/>
      <c r="F36" s="1"/>
    </row>
    <row r="37" spans="2:6" ht="25.5" customHeight="1" x14ac:dyDescent="0.25">
      <c r="B37" s="1" t="s">
        <v>29</v>
      </c>
      <c r="C37" s="1"/>
      <c r="D37" s="1"/>
      <c r="E37" s="1"/>
      <c r="F37" s="1"/>
    </row>
  </sheetData>
  <mergeCells count="15">
    <mergeCell ref="B33:F33"/>
    <mergeCell ref="B34:F34"/>
    <mergeCell ref="B35:F35"/>
    <mergeCell ref="B36:F36"/>
    <mergeCell ref="B37:F37"/>
    <mergeCell ref="B22:F22"/>
    <mergeCell ref="B29:C29"/>
    <mergeCell ref="D29:F29"/>
    <mergeCell ref="B30:C31"/>
    <mergeCell ref="D30:F31"/>
    <mergeCell ref="C1:G1"/>
    <mergeCell ref="A2:G2"/>
    <mergeCell ref="B4:F4"/>
    <mergeCell ref="B11:F11"/>
    <mergeCell ref="B16:F1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67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8.7109375" defaultRowHeight="15" x14ac:dyDescent="0.25"/>
  <cols>
    <col min="1" max="1" width="3" customWidth="1"/>
    <col min="2" max="2" width="8" customWidth="1"/>
    <col min="3" max="3" width="12" customWidth="1"/>
    <col min="4" max="4" width="18" customWidth="1"/>
    <col min="5" max="7" width="16" customWidth="1"/>
    <col min="8" max="8" width="18" customWidth="1"/>
    <col min="9" max="9" width="3" customWidth="1"/>
    <col min="10" max="10" width="16" customWidth="1"/>
  </cols>
  <sheetData>
    <row r="1" spans="2:10" ht="54.75" customHeight="1" x14ac:dyDescent="0.25">
      <c r="B1" s="9"/>
      <c r="C1" s="10"/>
      <c r="D1" s="10"/>
      <c r="E1" s="8" t="s">
        <v>30</v>
      </c>
      <c r="F1" s="8"/>
      <c r="G1" s="8"/>
      <c r="H1" s="8"/>
    </row>
    <row r="2" spans="2:10" ht="18" customHeight="1" x14ac:dyDescent="0.25">
      <c r="B2" s="7" t="s">
        <v>31</v>
      </c>
      <c r="C2" s="7"/>
      <c r="D2" s="7"/>
      <c r="E2" s="7"/>
      <c r="F2" s="7"/>
      <c r="G2" s="7"/>
      <c r="H2" s="7"/>
    </row>
    <row r="3" spans="2:10" ht="6" customHeight="1" x14ac:dyDescent="0.25"/>
    <row r="4" spans="2:10" ht="18" customHeight="1" x14ac:dyDescent="0.25">
      <c r="B4" s="19" t="s">
        <v>32</v>
      </c>
      <c r="C4" s="16">
        <f>'DSCR Calculator'!C9</f>
        <v>262500</v>
      </c>
      <c r="D4" s="19" t="s">
        <v>33</v>
      </c>
      <c r="E4" s="20">
        <f>'DSCR Calculator'!C7</f>
        <v>7.0000000000000007E-2</v>
      </c>
      <c r="F4" s="19" t="s">
        <v>34</v>
      </c>
      <c r="G4" s="21">
        <f>'DSCR Calculator'!C8</f>
        <v>30</v>
      </c>
      <c r="H4" s="19" t="s">
        <v>35</v>
      </c>
      <c r="J4" s="17">
        <f>'DSCR Calculator'!C23</f>
        <v>1746.4190498453543</v>
      </c>
    </row>
    <row r="5" spans="2:10" ht="7.5" customHeight="1" x14ac:dyDescent="0.25"/>
    <row r="7" spans="2:10" ht="19.5" customHeight="1" x14ac:dyDescent="0.25">
      <c r="B7" s="22" t="s">
        <v>36</v>
      </c>
      <c r="C7" s="22" t="s">
        <v>37</v>
      </c>
      <c r="D7" s="22" t="s">
        <v>38</v>
      </c>
      <c r="E7" s="22" t="s">
        <v>39</v>
      </c>
      <c r="F7" s="22" t="s">
        <v>40</v>
      </c>
      <c r="G7" s="22" t="s">
        <v>41</v>
      </c>
      <c r="H7" s="22" t="s">
        <v>42</v>
      </c>
    </row>
    <row r="8" spans="2:10" x14ac:dyDescent="0.25">
      <c r="B8" s="23">
        <f>IF(1&lt;='DSCR Calculator'!$C$8*12,1,"")</f>
        <v>1</v>
      </c>
      <c r="C8" s="24">
        <f ca="1">IF($B8="","",EDATE(TODAY(),1))</f>
        <v>46291</v>
      </c>
      <c r="D8" s="18">
        <f>IF($B8="","",'DSCR Calculator'!$C$9)</f>
        <v>262500</v>
      </c>
      <c r="E8" s="18">
        <f>IF($B8="","",MIN('DSCR Calculator'!$C$23,D8+F8))</f>
        <v>1746.4190498453543</v>
      </c>
      <c r="F8" s="18">
        <f>IF($B8="","",D8*('DSCR Calculator'!$C$7/12))</f>
        <v>1531.25</v>
      </c>
      <c r="G8" s="18">
        <f t="shared" ref="G8:G71" si="0">IF($B8="","",E8-F8)</f>
        <v>215.16904984535427</v>
      </c>
      <c r="H8" s="18">
        <f t="shared" ref="H8:H71" si="1">IF($B8="","",D8-G8)</f>
        <v>262284.83095015463</v>
      </c>
    </row>
    <row r="9" spans="2:10" x14ac:dyDescent="0.25">
      <c r="B9" s="23">
        <f>IF(2&lt;='DSCR Calculator'!$C$8*12,2,"")</f>
        <v>2</v>
      </c>
      <c r="C9" s="24">
        <f ca="1">IF($B9="","",EDATE(TODAY(),2))</f>
        <v>46321</v>
      </c>
      <c r="D9" s="18">
        <f t="shared" ref="D9:D72" si="2">IF($B9="","",H8)</f>
        <v>262284.83095015463</v>
      </c>
      <c r="E9" s="18">
        <f>IF($B9="","",MIN('DSCR Calculator'!$C$23,D9+F9))</f>
        <v>1746.4190498453543</v>
      </c>
      <c r="F9" s="18">
        <f>IF($B9="","",D9*('DSCR Calculator'!$C$7/12))</f>
        <v>1529.9948472092353</v>
      </c>
      <c r="G9" s="18">
        <f t="shared" si="0"/>
        <v>216.42420263611893</v>
      </c>
      <c r="H9" s="18">
        <f t="shared" si="1"/>
        <v>262068.40674751851</v>
      </c>
    </row>
    <row r="10" spans="2:10" x14ac:dyDescent="0.25">
      <c r="B10" s="23">
        <f>IF(3&lt;='DSCR Calculator'!$C$8*12,3,"")</f>
        <v>3</v>
      </c>
      <c r="C10" s="24">
        <f ca="1">IF($B10="","",EDATE(TODAY(),3))</f>
        <v>46352</v>
      </c>
      <c r="D10" s="18">
        <f t="shared" si="2"/>
        <v>262068.40674751851</v>
      </c>
      <c r="E10" s="18">
        <f>IF($B10="","",MIN('DSCR Calculator'!$C$23,D10+F10))</f>
        <v>1746.4190498453543</v>
      </c>
      <c r="F10" s="18">
        <f>IF($B10="","",D10*('DSCR Calculator'!$C$7/12))</f>
        <v>1528.732372693858</v>
      </c>
      <c r="G10" s="18">
        <f t="shared" si="0"/>
        <v>217.68667715149627</v>
      </c>
      <c r="H10" s="18">
        <f t="shared" si="1"/>
        <v>261850.72007036701</v>
      </c>
    </row>
    <row r="11" spans="2:10" x14ac:dyDescent="0.25">
      <c r="B11" s="23">
        <f>IF(4&lt;='DSCR Calculator'!$C$8*12,4,"")</f>
        <v>4</v>
      </c>
      <c r="C11" s="24">
        <f ca="1">IF($B11="","",EDATE(TODAY(),4))</f>
        <v>46382</v>
      </c>
      <c r="D11" s="18">
        <f t="shared" si="2"/>
        <v>261850.72007036701</v>
      </c>
      <c r="E11" s="18">
        <f>IF($B11="","",MIN('DSCR Calculator'!$C$23,D11+F11))</f>
        <v>1746.4190498453543</v>
      </c>
      <c r="F11" s="18">
        <f>IF($B11="","",D11*('DSCR Calculator'!$C$7/12))</f>
        <v>1527.4625337438076</v>
      </c>
      <c r="G11" s="18">
        <f t="shared" si="0"/>
        <v>218.95651610154664</v>
      </c>
      <c r="H11" s="18">
        <f t="shared" si="1"/>
        <v>261631.76355426546</v>
      </c>
    </row>
    <row r="12" spans="2:10" x14ac:dyDescent="0.25">
      <c r="B12" s="23">
        <f>IF(5&lt;='DSCR Calculator'!$C$8*12,5,"")</f>
        <v>5</v>
      </c>
      <c r="C12" s="24">
        <f ca="1">IF($B12="","",EDATE(TODAY(),5))</f>
        <v>46413</v>
      </c>
      <c r="D12" s="18">
        <f t="shared" si="2"/>
        <v>261631.76355426546</v>
      </c>
      <c r="E12" s="18">
        <f>IF($B12="","",MIN('DSCR Calculator'!$C$23,D12+F12))</f>
        <v>1746.4190498453543</v>
      </c>
      <c r="F12" s="18">
        <f>IF($B12="","",D12*('DSCR Calculator'!$C$7/12))</f>
        <v>1526.1852873998819</v>
      </c>
      <c r="G12" s="18">
        <f t="shared" si="0"/>
        <v>220.23376244547239</v>
      </c>
      <c r="H12" s="18">
        <f t="shared" si="1"/>
        <v>261411.52979181998</v>
      </c>
    </row>
    <row r="13" spans="2:10" x14ac:dyDescent="0.25">
      <c r="B13" s="23">
        <f>IF(6&lt;='DSCR Calculator'!$C$8*12,6,"")</f>
        <v>6</v>
      </c>
      <c r="C13" s="24">
        <f ca="1">IF($B13="","",EDATE(TODAY(),6))</f>
        <v>46444</v>
      </c>
      <c r="D13" s="18">
        <f t="shared" si="2"/>
        <v>261411.52979181998</v>
      </c>
      <c r="E13" s="18">
        <f>IF($B13="","",MIN('DSCR Calculator'!$C$23,D13+F13))</f>
        <v>1746.4190498453543</v>
      </c>
      <c r="F13" s="18">
        <f>IF($B13="","",D13*('DSCR Calculator'!$C$7/12))</f>
        <v>1524.9005904522833</v>
      </c>
      <c r="G13" s="18">
        <f t="shared" si="0"/>
        <v>221.518459393071</v>
      </c>
      <c r="H13" s="18">
        <f t="shared" si="1"/>
        <v>261190.01133242692</v>
      </c>
    </row>
    <row r="14" spans="2:10" x14ac:dyDescent="0.25">
      <c r="B14" s="23">
        <f>IF(7&lt;='DSCR Calculator'!$C$8*12,7,"")</f>
        <v>7</v>
      </c>
      <c r="C14" s="24">
        <f ca="1">IF($B14="","",EDATE(TODAY(),7))</f>
        <v>46472</v>
      </c>
      <c r="D14" s="18">
        <f t="shared" si="2"/>
        <v>261190.01133242692</v>
      </c>
      <c r="E14" s="18">
        <f>IF($B14="","",MIN('DSCR Calculator'!$C$23,D14+F14))</f>
        <v>1746.4190498453543</v>
      </c>
      <c r="F14" s="18">
        <f>IF($B14="","",D14*('DSCR Calculator'!$C$7/12))</f>
        <v>1523.608399439157</v>
      </c>
      <c r="G14" s="18">
        <f t="shared" si="0"/>
        <v>222.81065040619728</v>
      </c>
      <c r="H14" s="18">
        <f t="shared" si="1"/>
        <v>260967.20068202072</v>
      </c>
    </row>
    <row r="15" spans="2:10" x14ac:dyDescent="0.25">
      <c r="B15" s="23">
        <f>IF(8&lt;='DSCR Calculator'!$C$8*12,8,"")</f>
        <v>8</v>
      </c>
      <c r="C15" s="24">
        <f ca="1">IF($B15="","",EDATE(TODAY(),8))</f>
        <v>46503</v>
      </c>
      <c r="D15" s="18">
        <f t="shared" si="2"/>
        <v>260967.20068202072</v>
      </c>
      <c r="E15" s="18">
        <f>IF($B15="","",MIN('DSCR Calculator'!$C$23,D15+F15))</f>
        <v>1746.4190498453543</v>
      </c>
      <c r="F15" s="18">
        <f>IF($B15="","",D15*('DSCR Calculator'!$C$7/12))</f>
        <v>1522.3086706451209</v>
      </c>
      <c r="G15" s="18">
        <f t="shared" si="0"/>
        <v>224.11037920023341</v>
      </c>
      <c r="H15" s="18">
        <f t="shared" si="1"/>
        <v>260743.09030282049</v>
      </c>
    </row>
    <row r="16" spans="2:10" x14ac:dyDescent="0.25">
      <c r="B16" s="23">
        <f>IF(9&lt;='DSCR Calculator'!$C$8*12,9,"")</f>
        <v>9</v>
      </c>
      <c r="C16" s="24">
        <f ca="1">IF($B16="","",EDATE(TODAY(),9))</f>
        <v>46533</v>
      </c>
      <c r="D16" s="18">
        <f t="shared" si="2"/>
        <v>260743.09030282049</v>
      </c>
      <c r="E16" s="18">
        <f>IF($B16="","",MIN('DSCR Calculator'!$C$23,D16+F16))</f>
        <v>1746.4190498453543</v>
      </c>
      <c r="F16" s="18">
        <f>IF($B16="","",D16*('DSCR Calculator'!$C$7/12))</f>
        <v>1521.0013600997863</v>
      </c>
      <c r="G16" s="18">
        <f t="shared" si="0"/>
        <v>225.41768974556794</v>
      </c>
      <c r="H16" s="18">
        <f t="shared" si="1"/>
        <v>260517.67261307492</v>
      </c>
    </row>
    <row r="17" spans="2:8" x14ac:dyDescent="0.25">
      <c r="B17" s="23">
        <f>IF(10&lt;='DSCR Calculator'!$C$8*12,10,"")</f>
        <v>10</v>
      </c>
      <c r="C17" s="24">
        <f ca="1">IF($B17="","",EDATE(TODAY(),10))</f>
        <v>46564</v>
      </c>
      <c r="D17" s="18">
        <f t="shared" si="2"/>
        <v>260517.67261307492</v>
      </c>
      <c r="E17" s="18">
        <f>IF($B17="","",MIN('DSCR Calculator'!$C$23,D17+F17))</f>
        <v>1746.4190498453543</v>
      </c>
      <c r="F17" s="18">
        <f>IF($B17="","",D17*('DSCR Calculator'!$C$7/12))</f>
        <v>1519.6864235762705</v>
      </c>
      <c r="G17" s="18">
        <f t="shared" si="0"/>
        <v>226.73262626908377</v>
      </c>
      <c r="H17" s="18">
        <f t="shared" si="1"/>
        <v>260290.93998680584</v>
      </c>
    </row>
    <row r="18" spans="2:8" x14ac:dyDescent="0.25">
      <c r="B18" s="23">
        <f>IF(11&lt;='DSCR Calculator'!$C$8*12,11,"")</f>
        <v>11</v>
      </c>
      <c r="C18" s="24">
        <f ca="1">IF($B18="","",EDATE(TODAY(),11))</f>
        <v>46594</v>
      </c>
      <c r="D18" s="18">
        <f t="shared" si="2"/>
        <v>260290.93998680584</v>
      </c>
      <c r="E18" s="18">
        <f>IF($B18="","",MIN('DSCR Calculator'!$C$23,D18+F18))</f>
        <v>1746.4190498453543</v>
      </c>
      <c r="F18" s="18">
        <f>IF($B18="","",D18*('DSCR Calculator'!$C$7/12))</f>
        <v>1518.3638165897007</v>
      </c>
      <c r="G18" s="18">
        <f t="shared" si="0"/>
        <v>228.05523325565355</v>
      </c>
      <c r="H18" s="18">
        <f t="shared" si="1"/>
        <v>260062.8847535502</v>
      </c>
    </row>
    <row r="19" spans="2:8" x14ac:dyDescent="0.25">
      <c r="B19" s="23">
        <f>IF(12&lt;='DSCR Calculator'!$C$8*12,12,"")</f>
        <v>12</v>
      </c>
      <c r="C19" s="24">
        <f ca="1">IF($B19="","",EDATE(TODAY(),12))</f>
        <v>46625</v>
      </c>
      <c r="D19" s="18">
        <f t="shared" si="2"/>
        <v>260062.8847535502</v>
      </c>
      <c r="E19" s="18">
        <f>IF($B19="","",MIN('DSCR Calculator'!$C$23,D19+F19))</f>
        <v>1746.4190498453543</v>
      </c>
      <c r="F19" s="18">
        <f>IF($B19="","",D19*('DSCR Calculator'!$C$7/12))</f>
        <v>1517.0334943957096</v>
      </c>
      <c r="G19" s="18">
        <f t="shared" si="0"/>
        <v>229.3855554496447</v>
      </c>
      <c r="H19" s="18">
        <f t="shared" si="1"/>
        <v>259833.49919810056</v>
      </c>
    </row>
    <row r="20" spans="2:8" x14ac:dyDescent="0.25">
      <c r="B20" s="23">
        <f>IF(13&lt;='DSCR Calculator'!$C$8*12,13,"")</f>
        <v>13</v>
      </c>
      <c r="C20" s="24">
        <f ca="1">IF($B20="","",EDATE(TODAY(),13))</f>
        <v>46656</v>
      </c>
      <c r="D20" s="18">
        <f t="shared" si="2"/>
        <v>259833.49919810056</v>
      </c>
      <c r="E20" s="18">
        <f>IF($B20="","",MIN('DSCR Calculator'!$C$23,D20+F20))</f>
        <v>1746.4190498453543</v>
      </c>
      <c r="F20" s="18">
        <f>IF($B20="","",D20*('DSCR Calculator'!$C$7/12))</f>
        <v>1515.6954119889199</v>
      </c>
      <c r="G20" s="18">
        <f t="shared" si="0"/>
        <v>230.72363785643438</v>
      </c>
      <c r="H20" s="18">
        <f t="shared" si="1"/>
        <v>259602.77556024413</v>
      </c>
    </row>
    <row r="21" spans="2:8" x14ac:dyDescent="0.25">
      <c r="B21" s="23">
        <f>IF(14&lt;='DSCR Calculator'!$C$8*12,14,"")</f>
        <v>14</v>
      </c>
      <c r="C21" s="24">
        <f ca="1">IF($B21="","",EDATE(TODAY(),14))</f>
        <v>46686</v>
      </c>
      <c r="D21" s="18">
        <f t="shared" si="2"/>
        <v>259602.77556024413</v>
      </c>
      <c r="E21" s="18">
        <f>IF($B21="","",MIN('DSCR Calculator'!$C$23,D21+F21))</f>
        <v>1746.4190498453543</v>
      </c>
      <c r="F21" s="18">
        <f>IF($B21="","",D21*('DSCR Calculator'!$C$7/12))</f>
        <v>1514.3495241014241</v>
      </c>
      <c r="G21" s="18">
        <f t="shared" si="0"/>
        <v>232.06952574393017</v>
      </c>
      <c r="H21" s="18">
        <f t="shared" si="1"/>
        <v>259370.70603450021</v>
      </c>
    </row>
    <row r="22" spans="2:8" x14ac:dyDescent="0.25">
      <c r="B22" s="23">
        <f>IF(15&lt;='DSCR Calculator'!$C$8*12,15,"")</f>
        <v>15</v>
      </c>
      <c r="C22" s="24">
        <f ca="1">IF($B22="","",EDATE(TODAY(),15))</f>
        <v>46717</v>
      </c>
      <c r="D22" s="18">
        <f t="shared" si="2"/>
        <v>259370.70603450021</v>
      </c>
      <c r="E22" s="18">
        <f>IF($B22="","",MIN('DSCR Calculator'!$C$23,D22+F22))</f>
        <v>1746.4190498453543</v>
      </c>
      <c r="F22" s="18">
        <f>IF($B22="","",D22*('DSCR Calculator'!$C$7/12))</f>
        <v>1512.9957852012512</v>
      </c>
      <c r="G22" s="18">
        <f t="shared" si="0"/>
        <v>233.42326464410303</v>
      </c>
      <c r="H22" s="18">
        <f t="shared" si="1"/>
        <v>259137.2827698561</v>
      </c>
    </row>
    <row r="23" spans="2:8" x14ac:dyDescent="0.25">
      <c r="B23" s="23">
        <f>IF(16&lt;='DSCR Calculator'!$C$8*12,16,"")</f>
        <v>16</v>
      </c>
      <c r="C23" s="24">
        <f ca="1">IF($B23="","",EDATE(TODAY(),16))</f>
        <v>46747</v>
      </c>
      <c r="D23" s="18">
        <f t="shared" si="2"/>
        <v>259137.2827698561</v>
      </c>
      <c r="E23" s="18">
        <f>IF($B23="","",MIN('DSCR Calculator'!$C$23,D23+F23))</f>
        <v>1746.4190498453543</v>
      </c>
      <c r="F23" s="18">
        <f>IF($B23="","",D23*('DSCR Calculator'!$C$7/12))</f>
        <v>1511.6341494908274</v>
      </c>
      <c r="G23" s="18">
        <f t="shared" si="0"/>
        <v>234.78490035452683</v>
      </c>
      <c r="H23" s="18">
        <f t="shared" si="1"/>
        <v>258902.49786950159</v>
      </c>
    </row>
    <row r="24" spans="2:8" x14ac:dyDescent="0.25">
      <c r="B24" s="23">
        <f>IF(17&lt;='DSCR Calculator'!$C$8*12,17,"")</f>
        <v>17</v>
      </c>
      <c r="C24" s="24">
        <f ca="1">IF($B24="","",EDATE(TODAY(),17))</f>
        <v>46778</v>
      </c>
      <c r="D24" s="18">
        <f t="shared" si="2"/>
        <v>258902.49786950159</v>
      </c>
      <c r="E24" s="18">
        <f>IF($B24="","",MIN('DSCR Calculator'!$C$23,D24+F24))</f>
        <v>1746.4190498453543</v>
      </c>
      <c r="F24" s="18">
        <f>IF($B24="","",D24*('DSCR Calculator'!$C$7/12))</f>
        <v>1510.2645709054259</v>
      </c>
      <c r="G24" s="18">
        <f t="shared" si="0"/>
        <v>236.15447893992837</v>
      </c>
      <c r="H24" s="18">
        <f t="shared" si="1"/>
        <v>258666.34339056167</v>
      </c>
    </row>
    <row r="25" spans="2:8" x14ac:dyDescent="0.25">
      <c r="B25" s="23">
        <f>IF(18&lt;='DSCR Calculator'!$C$8*12,18,"")</f>
        <v>18</v>
      </c>
      <c r="C25" s="24">
        <f ca="1">IF($B25="","",EDATE(TODAY(),18))</f>
        <v>46809</v>
      </c>
      <c r="D25" s="18">
        <f t="shared" si="2"/>
        <v>258666.34339056167</v>
      </c>
      <c r="E25" s="18">
        <f>IF($B25="","",MIN('DSCR Calculator'!$C$23,D25+F25))</f>
        <v>1746.4190498453543</v>
      </c>
      <c r="F25" s="18">
        <f>IF($B25="","",D25*('DSCR Calculator'!$C$7/12))</f>
        <v>1508.8870031116098</v>
      </c>
      <c r="G25" s="18">
        <f t="shared" si="0"/>
        <v>237.53204673374444</v>
      </c>
      <c r="H25" s="18">
        <f t="shared" si="1"/>
        <v>258428.81134382793</v>
      </c>
    </row>
    <row r="26" spans="2:8" x14ac:dyDescent="0.25">
      <c r="B26" s="23">
        <f>IF(19&lt;='DSCR Calculator'!$C$8*12,19,"")</f>
        <v>19</v>
      </c>
      <c r="C26" s="24">
        <f ca="1">IF($B26="","",EDATE(TODAY(),19))</f>
        <v>46838</v>
      </c>
      <c r="D26" s="18">
        <f t="shared" si="2"/>
        <v>258428.81134382793</v>
      </c>
      <c r="E26" s="18">
        <f>IF($B26="","",MIN('DSCR Calculator'!$C$23,D26+F26))</f>
        <v>1746.4190498453543</v>
      </c>
      <c r="F26" s="18">
        <f>IF($B26="","",D26*('DSCR Calculator'!$C$7/12))</f>
        <v>1507.5013995056629</v>
      </c>
      <c r="G26" s="18">
        <f t="shared" si="0"/>
        <v>238.91765033969136</v>
      </c>
      <c r="H26" s="18">
        <f t="shared" si="1"/>
        <v>258189.89369348824</v>
      </c>
    </row>
    <row r="27" spans="2:8" x14ac:dyDescent="0.25">
      <c r="B27" s="23">
        <f>IF(20&lt;='DSCR Calculator'!$C$8*12,20,"")</f>
        <v>20</v>
      </c>
      <c r="C27" s="24">
        <f ca="1">IF($B27="","",EDATE(TODAY(),20))</f>
        <v>46869</v>
      </c>
      <c r="D27" s="18">
        <f t="shared" si="2"/>
        <v>258189.89369348824</v>
      </c>
      <c r="E27" s="18">
        <f>IF($B27="","",MIN('DSCR Calculator'!$C$23,D27+F27))</f>
        <v>1746.4190498453543</v>
      </c>
      <c r="F27" s="18">
        <f>IF($B27="","",D27*('DSCR Calculator'!$C$7/12))</f>
        <v>1506.1077132120147</v>
      </c>
      <c r="G27" s="18">
        <f t="shared" si="0"/>
        <v>240.31133663333958</v>
      </c>
      <c r="H27" s="18">
        <f t="shared" si="1"/>
        <v>257949.58235685489</v>
      </c>
    </row>
    <row r="28" spans="2:8" x14ac:dyDescent="0.25">
      <c r="B28" s="23">
        <f>IF(21&lt;='DSCR Calculator'!$C$8*12,21,"")</f>
        <v>21</v>
      </c>
      <c r="C28" s="24">
        <f ca="1">IF($B28="","",EDATE(TODAY(),21))</f>
        <v>46899</v>
      </c>
      <c r="D28" s="18">
        <f t="shared" si="2"/>
        <v>257949.58235685489</v>
      </c>
      <c r="E28" s="18">
        <f>IF($B28="","",MIN('DSCR Calculator'!$C$23,D28+F28))</f>
        <v>1746.4190498453543</v>
      </c>
      <c r="F28" s="18">
        <f>IF($B28="","",D28*('DSCR Calculator'!$C$7/12))</f>
        <v>1504.7058970816536</v>
      </c>
      <c r="G28" s="18">
        <f t="shared" si="0"/>
        <v>241.71315276370069</v>
      </c>
      <c r="H28" s="18">
        <f t="shared" si="1"/>
        <v>257707.8692040912</v>
      </c>
    </row>
    <row r="29" spans="2:8" x14ac:dyDescent="0.25">
      <c r="B29" s="23">
        <f>IF(22&lt;='DSCR Calculator'!$C$8*12,22,"")</f>
        <v>22</v>
      </c>
      <c r="C29" s="24">
        <f ca="1">IF($B29="","",EDATE(TODAY(),22))</f>
        <v>46930</v>
      </c>
      <c r="D29" s="18">
        <f t="shared" si="2"/>
        <v>257707.8692040912</v>
      </c>
      <c r="E29" s="18">
        <f>IF($B29="","",MIN('DSCR Calculator'!$C$23,D29+F29))</f>
        <v>1746.4190498453543</v>
      </c>
      <c r="F29" s="18">
        <f>IF($B29="","",D29*('DSCR Calculator'!$C$7/12))</f>
        <v>1503.295903690532</v>
      </c>
      <c r="G29" s="18">
        <f t="shared" si="0"/>
        <v>243.12314615482228</v>
      </c>
      <c r="H29" s="18">
        <f t="shared" si="1"/>
        <v>257464.74605793637</v>
      </c>
    </row>
    <row r="30" spans="2:8" x14ac:dyDescent="0.25">
      <c r="B30" s="23">
        <f>IF(23&lt;='DSCR Calculator'!$C$8*12,23,"")</f>
        <v>23</v>
      </c>
      <c r="C30" s="24">
        <f ca="1">IF($B30="","",EDATE(TODAY(),23))</f>
        <v>46960</v>
      </c>
      <c r="D30" s="18">
        <f t="shared" si="2"/>
        <v>257464.74605793637</v>
      </c>
      <c r="E30" s="18">
        <f>IF($B30="","",MIN('DSCR Calculator'!$C$23,D30+F30))</f>
        <v>1746.4190498453543</v>
      </c>
      <c r="F30" s="18">
        <f>IF($B30="","",D30*('DSCR Calculator'!$C$7/12))</f>
        <v>1501.8776853379622</v>
      </c>
      <c r="G30" s="18">
        <f t="shared" si="0"/>
        <v>244.54136450739202</v>
      </c>
      <c r="H30" s="18">
        <f t="shared" si="1"/>
        <v>257220.20469342897</v>
      </c>
    </row>
    <row r="31" spans="2:8" x14ac:dyDescent="0.25">
      <c r="B31" s="23">
        <f>IF(24&lt;='DSCR Calculator'!$C$8*12,24,"")</f>
        <v>24</v>
      </c>
      <c r="C31" s="24">
        <f ca="1">IF($B31="","",EDATE(TODAY(),24))</f>
        <v>46991</v>
      </c>
      <c r="D31" s="18">
        <f t="shared" si="2"/>
        <v>257220.20469342897</v>
      </c>
      <c r="E31" s="18">
        <f>IF($B31="","",MIN('DSCR Calculator'!$C$23,D31+F31))</f>
        <v>1746.4190498453543</v>
      </c>
      <c r="F31" s="18">
        <f>IF($B31="","",D31*('DSCR Calculator'!$C$7/12))</f>
        <v>1500.4511940450025</v>
      </c>
      <c r="G31" s="18">
        <f t="shared" si="0"/>
        <v>245.9678558003518</v>
      </c>
      <c r="H31" s="18">
        <f t="shared" si="1"/>
        <v>256974.23683762862</v>
      </c>
    </row>
    <row r="32" spans="2:8" x14ac:dyDescent="0.25">
      <c r="B32" s="23">
        <f>IF(25&lt;='DSCR Calculator'!$C$8*12,25,"")</f>
        <v>25</v>
      </c>
      <c r="C32" s="24">
        <f ca="1">IF($B32="","",EDATE(TODAY(),25))</f>
        <v>47022</v>
      </c>
      <c r="D32" s="18">
        <f t="shared" si="2"/>
        <v>256974.23683762862</v>
      </c>
      <c r="E32" s="18">
        <f>IF($B32="","",MIN('DSCR Calculator'!$C$23,D32+F32))</f>
        <v>1746.4190498453543</v>
      </c>
      <c r="F32" s="18">
        <f>IF($B32="","",D32*('DSCR Calculator'!$C$7/12))</f>
        <v>1499.0163815528338</v>
      </c>
      <c r="G32" s="18">
        <f t="shared" si="0"/>
        <v>247.4026682925205</v>
      </c>
      <c r="H32" s="18">
        <f t="shared" si="1"/>
        <v>256726.8341693361</v>
      </c>
    </row>
    <row r="33" spans="2:8" x14ac:dyDescent="0.25">
      <c r="B33" s="23">
        <f>IF(26&lt;='DSCR Calculator'!$C$8*12,26,"")</f>
        <v>26</v>
      </c>
      <c r="C33" s="24">
        <f ca="1">IF($B33="","",EDATE(TODAY(),26))</f>
        <v>47052</v>
      </c>
      <c r="D33" s="18">
        <f t="shared" si="2"/>
        <v>256726.8341693361</v>
      </c>
      <c r="E33" s="18">
        <f>IF($B33="","",MIN('DSCR Calculator'!$C$23,D33+F33))</f>
        <v>1746.4190498453543</v>
      </c>
      <c r="F33" s="18">
        <f>IF($B33="","",D33*('DSCR Calculator'!$C$7/12))</f>
        <v>1497.5731993211273</v>
      </c>
      <c r="G33" s="18">
        <f t="shared" si="0"/>
        <v>248.84585052422699</v>
      </c>
      <c r="H33" s="18">
        <f t="shared" si="1"/>
        <v>256477.98831881187</v>
      </c>
    </row>
    <row r="34" spans="2:8" x14ac:dyDescent="0.25">
      <c r="B34" s="23">
        <f>IF(27&lt;='DSCR Calculator'!$C$8*12,27,"")</f>
        <v>27</v>
      </c>
      <c r="C34" s="24">
        <f ca="1">IF($B34="","",EDATE(TODAY(),27))</f>
        <v>47083</v>
      </c>
      <c r="D34" s="18">
        <f t="shared" si="2"/>
        <v>256477.98831881187</v>
      </c>
      <c r="E34" s="18">
        <f>IF($B34="","",MIN('DSCR Calculator'!$C$23,D34+F34))</f>
        <v>1746.4190498453543</v>
      </c>
      <c r="F34" s="18">
        <f>IF($B34="","",D34*('DSCR Calculator'!$C$7/12))</f>
        <v>1496.1215985264027</v>
      </c>
      <c r="G34" s="18">
        <f t="shared" si="0"/>
        <v>250.29745131895152</v>
      </c>
      <c r="H34" s="18">
        <f t="shared" si="1"/>
        <v>256227.69086749293</v>
      </c>
    </row>
    <row r="35" spans="2:8" x14ac:dyDescent="0.25">
      <c r="B35" s="23">
        <f>IF(28&lt;='DSCR Calculator'!$C$8*12,28,"")</f>
        <v>28</v>
      </c>
      <c r="C35" s="24">
        <f ca="1">IF($B35="","",EDATE(TODAY(),28))</f>
        <v>47113</v>
      </c>
      <c r="D35" s="18">
        <f t="shared" si="2"/>
        <v>256227.69086749293</v>
      </c>
      <c r="E35" s="18">
        <f>IF($B35="","",MIN('DSCR Calculator'!$C$23,D35+F35))</f>
        <v>1746.4190498453543</v>
      </c>
      <c r="F35" s="18">
        <f>IF($B35="","",D35*('DSCR Calculator'!$C$7/12))</f>
        <v>1494.6615300603755</v>
      </c>
      <c r="G35" s="18">
        <f t="shared" si="0"/>
        <v>251.75751978497874</v>
      </c>
      <c r="H35" s="18">
        <f t="shared" si="1"/>
        <v>255975.93334770796</v>
      </c>
    </row>
    <row r="36" spans="2:8" x14ac:dyDescent="0.25">
      <c r="B36" s="23">
        <f>IF(29&lt;='DSCR Calculator'!$C$8*12,29,"")</f>
        <v>29</v>
      </c>
      <c r="C36" s="24">
        <f ca="1">IF($B36="","",EDATE(TODAY(),29))</f>
        <v>47144</v>
      </c>
      <c r="D36" s="18">
        <f t="shared" si="2"/>
        <v>255975.93334770796</v>
      </c>
      <c r="E36" s="18">
        <f>IF($B36="","",MIN('DSCR Calculator'!$C$23,D36+F36))</f>
        <v>1746.4190498453543</v>
      </c>
      <c r="F36" s="18">
        <f>IF($B36="","",D36*('DSCR Calculator'!$C$7/12))</f>
        <v>1493.1929445282965</v>
      </c>
      <c r="G36" s="18">
        <f t="shared" si="0"/>
        <v>253.22610531705777</v>
      </c>
      <c r="H36" s="18">
        <f t="shared" si="1"/>
        <v>255722.7072423909</v>
      </c>
    </row>
    <row r="37" spans="2:8" x14ac:dyDescent="0.25">
      <c r="B37" s="23">
        <f>IF(30&lt;='DSCR Calculator'!$C$8*12,30,"")</f>
        <v>30</v>
      </c>
      <c r="C37" s="24">
        <f ca="1">IF($B37="","",EDATE(TODAY(),30))</f>
        <v>47175</v>
      </c>
      <c r="D37" s="18">
        <f t="shared" si="2"/>
        <v>255722.7072423909</v>
      </c>
      <c r="E37" s="18">
        <f>IF($B37="","",MIN('DSCR Calculator'!$C$23,D37+F37))</f>
        <v>1746.4190498453543</v>
      </c>
      <c r="F37" s="18">
        <f>IF($B37="","",D37*('DSCR Calculator'!$C$7/12))</f>
        <v>1491.7157922472802</v>
      </c>
      <c r="G37" s="18">
        <f t="shared" si="0"/>
        <v>254.70325759807406</v>
      </c>
      <c r="H37" s="18">
        <f t="shared" si="1"/>
        <v>255468.00398479283</v>
      </c>
    </row>
    <row r="38" spans="2:8" x14ac:dyDescent="0.25">
      <c r="B38" s="23">
        <f>IF(31&lt;='DSCR Calculator'!$C$8*12,31,"")</f>
        <v>31</v>
      </c>
      <c r="C38" s="24">
        <f ca="1">IF($B38="","",EDATE(TODAY(),31))</f>
        <v>47203</v>
      </c>
      <c r="D38" s="18">
        <f t="shared" si="2"/>
        <v>255468.00398479283</v>
      </c>
      <c r="E38" s="18">
        <f>IF($B38="","",MIN('DSCR Calculator'!$C$23,D38+F38))</f>
        <v>1746.4190498453543</v>
      </c>
      <c r="F38" s="18">
        <f>IF($B38="","",D38*('DSCR Calculator'!$C$7/12))</f>
        <v>1490.2300232446248</v>
      </c>
      <c r="G38" s="18">
        <f t="shared" si="0"/>
        <v>256.18902660072945</v>
      </c>
      <c r="H38" s="18">
        <f t="shared" si="1"/>
        <v>255211.81495819209</v>
      </c>
    </row>
    <row r="39" spans="2:8" x14ac:dyDescent="0.25">
      <c r="B39" s="23">
        <f>IF(32&lt;='DSCR Calculator'!$C$8*12,32,"")</f>
        <v>32</v>
      </c>
      <c r="C39" s="24">
        <f ca="1">IF($B39="","",EDATE(TODAY(),32))</f>
        <v>47234</v>
      </c>
      <c r="D39" s="18">
        <f t="shared" si="2"/>
        <v>255211.81495819209</v>
      </c>
      <c r="E39" s="18">
        <f>IF($B39="","",MIN('DSCR Calculator'!$C$23,D39+F39))</f>
        <v>1746.4190498453543</v>
      </c>
      <c r="F39" s="18">
        <f>IF($B39="","",D39*('DSCR Calculator'!$C$7/12))</f>
        <v>1488.7355872561207</v>
      </c>
      <c r="G39" s="18">
        <f t="shared" si="0"/>
        <v>257.68346258923361</v>
      </c>
      <c r="H39" s="18">
        <f t="shared" si="1"/>
        <v>254954.13149560287</v>
      </c>
    </row>
    <row r="40" spans="2:8" x14ac:dyDescent="0.25">
      <c r="B40" s="23">
        <f>IF(33&lt;='DSCR Calculator'!$C$8*12,33,"")</f>
        <v>33</v>
      </c>
      <c r="C40" s="24">
        <f ca="1">IF($B40="","",EDATE(TODAY(),33))</f>
        <v>47264</v>
      </c>
      <c r="D40" s="18">
        <f t="shared" si="2"/>
        <v>254954.13149560287</v>
      </c>
      <c r="E40" s="18">
        <f>IF($B40="","",MIN('DSCR Calculator'!$C$23,D40+F40))</f>
        <v>1746.4190498453543</v>
      </c>
      <c r="F40" s="18">
        <f>IF($B40="","",D40*('DSCR Calculator'!$C$7/12))</f>
        <v>1487.2324337243501</v>
      </c>
      <c r="G40" s="18">
        <f t="shared" si="0"/>
        <v>259.18661612100414</v>
      </c>
      <c r="H40" s="18">
        <f t="shared" si="1"/>
        <v>254694.94487948186</v>
      </c>
    </row>
    <row r="41" spans="2:8" x14ac:dyDescent="0.25">
      <c r="B41" s="23">
        <f>IF(34&lt;='DSCR Calculator'!$C$8*12,34,"")</f>
        <v>34</v>
      </c>
      <c r="C41" s="24">
        <f ca="1">IF($B41="","",EDATE(TODAY(),34))</f>
        <v>47295</v>
      </c>
      <c r="D41" s="18">
        <f t="shared" si="2"/>
        <v>254694.94487948186</v>
      </c>
      <c r="E41" s="18">
        <f>IF($B41="","",MIN('DSCR Calculator'!$C$23,D41+F41))</f>
        <v>1746.4190498453543</v>
      </c>
      <c r="F41" s="18">
        <f>IF($B41="","",D41*('DSCR Calculator'!$C$7/12))</f>
        <v>1485.7205117969777</v>
      </c>
      <c r="G41" s="18">
        <f t="shared" si="0"/>
        <v>260.69853804837658</v>
      </c>
      <c r="H41" s="18">
        <f t="shared" si="1"/>
        <v>254434.24634143349</v>
      </c>
    </row>
    <row r="42" spans="2:8" x14ac:dyDescent="0.25">
      <c r="B42" s="23">
        <f>IF(35&lt;='DSCR Calculator'!$C$8*12,35,"")</f>
        <v>35</v>
      </c>
      <c r="C42" s="24">
        <f ca="1">IF($B42="","",EDATE(TODAY(),35))</f>
        <v>47325</v>
      </c>
      <c r="D42" s="18">
        <f t="shared" si="2"/>
        <v>254434.24634143349</v>
      </c>
      <c r="E42" s="18">
        <f>IF($B42="","",MIN('DSCR Calculator'!$C$23,D42+F42))</f>
        <v>1746.4190498453543</v>
      </c>
      <c r="F42" s="18">
        <f>IF($B42="","",D42*('DSCR Calculator'!$C$7/12))</f>
        <v>1484.1997703250288</v>
      </c>
      <c r="G42" s="18">
        <f t="shared" si="0"/>
        <v>262.21927952032547</v>
      </c>
      <c r="H42" s="18">
        <f t="shared" si="1"/>
        <v>254172.02706191316</v>
      </c>
    </row>
    <row r="43" spans="2:8" x14ac:dyDescent="0.25">
      <c r="B43" s="23">
        <f>IF(36&lt;='DSCR Calculator'!$C$8*12,36,"")</f>
        <v>36</v>
      </c>
      <c r="C43" s="24">
        <f ca="1">IF($B43="","",EDATE(TODAY(),36))</f>
        <v>47356</v>
      </c>
      <c r="D43" s="18">
        <f t="shared" si="2"/>
        <v>254172.02706191316</v>
      </c>
      <c r="E43" s="18">
        <f>IF($B43="","",MIN('DSCR Calculator'!$C$23,D43+F43))</f>
        <v>1746.4190498453543</v>
      </c>
      <c r="F43" s="18">
        <f>IF($B43="","",D43*('DSCR Calculator'!$C$7/12))</f>
        <v>1482.6701578611601</v>
      </c>
      <c r="G43" s="18">
        <f t="shared" si="0"/>
        <v>263.74889198419419</v>
      </c>
      <c r="H43" s="18">
        <f t="shared" si="1"/>
        <v>253908.27816992896</v>
      </c>
    </row>
    <row r="44" spans="2:8" x14ac:dyDescent="0.25">
      <c r="B44" s="23">
        <f>IF(37&lt;='DSCR Calculator'!$C$8*12,37,"")</f>
        <v>37</v>
      </c>
      <c r="C44" s="24">
        <f ca="1">IF($B44="","",EDATE(TODAY(),37))</f>
        <v>47387</v>
      </c>
      <c r="D44" s="18">
        <f t="shared" si="2"/>
        <v>253908.27816992896</v>
      </c>
      <c r="E44" s="18">
        <f>IF($B44="","",MIN('DSCR Calculator'!$C$23,D44+F44))</f>
        <v>1746.4190498453543</v>
      </c>
      <c r="F44" s="18">
        <f>IF($B44="","",D44*('DSCR Calculator'!$C$7/12))</f>
        <v>1481.131622657919</v>
      </c>
      <c r="G44" s="18">
        <f t="shared" si="0"/>
        <v>265.28742718743524</v>
      </c>
      <c r="H44" s="18">
        <f t="shared" si="1"/>
        <v>253642.99074274153</v>
      </c>
    </row>
    <row r="45" spans="2:8" x14ac:dyDescent="0.25">
      <c r="B45" s="23">
        <f>IF(38&lt;='DSCR Calculator'!$C$8*12,38,"")</f>
        <v>38</v>
      </c>
      <c r="C45" s="24">
        <f ca="1">IF($B45="","",EDATE(TODAY(),38))</f>
        <v>47417</v>
      </c>
      <c r="D45" s="18">
        <f t="shared" si="2"/>
        <v>253642.99074274153</v>
      </c>
      <c r="E45" s="18">
        <f>IF($B45="","",MIN('DSCR Calculator'!$C$23,D45+F45))</f>
        <v>1746.4190498453543</v>
      </c>
      <c r="F45" s="18">
        <f>IF($B45="","",D45*('DSCR Calculator'!$C$7/12))</f>
        <v>1479.5841126659923</v>
      </c>
      <c r="G45" s="18">
        <f t="shared" si="0"/>
        <v>266.83493717936199</v>
      </c>
      <c r="H45" s="18">
        <f t="shared" si="1"/>
        <v>253376.15580556216</v>
      </c>
    </row>
    <row r="46" spans="2:8" x14ac:dyDescent="0.25">
      <c r="B46" s="23">
        <f>IF(39&lt;='DSCR Calculator'!$C$8*12,39,"")</f>
        <v>39</v>
      </c>
      <c r="C46" s="24">
        <f ca="1">IF($B46="","",EDATE(TODAY(),39))</f>
        <v>47448</v>
      </c>
      <c r="D46" s="18">
        <f t="shared" si="2"/>
        <v>253376.15580556216</v>
      </c>
      <c r="E46" s="18">
        <f>IF($B46="","",MIN('DSCR Calculator'!$C$23,D46+F46))</f>
        <v>1746.4190498453543</v>
      </c>
      <c r="F46" s="18">
        <f>IF($B46="","",D46*('DSCR Calculator'!$C$7/12))</f>
        <v>1478.027575532446</v>
      </c>
      <c r="G46" s="18">
        <f t="shared" si="0"/>
        <v>268.39147431290826</v>
      </c>
      <c r="H46" s="18">
        <f t="shared" si="1"/>
        <v>253107.76433124926</v>
      </c>
    </row>
    <row r="47" spans="2:8" x14ac:dyDescent="0.25">
      <c r="B47" s="23">
        <f>IF(40&lt;='DSCR Calculator'!$C$8*12,40,"")</f>
        <v>40</v>
      </c>
      <c r="C47" s="24">
        <f ca="1">IF($B47="","",EDATE(TODAY(),40))</f>
        <v>47478</v>
      </c>
      <c r="D47" s="18">
        <f t="shared" si="2"/>
        <v>253107.76433124926</v>
      </c>
      <c r="E47" s="18">
        <f>IF($B47="","",MIN('DSCR Calculator'!$C$23,D47+F47))</f>
        <v>1746.4190498453543</v>
      </c>
      <c r="F47" s="18">
        <f>IF($B47="","",D47*('DSCR Calculator'!$C$7/12))</f>
        <v>1476.461958598954</v>
      </c>
      <c r="G47" s="18">
        <f t="shared" si="0"/>
        <v>269.9570912464003</v>
      </c>
      <c r="H47" s="18">
        <f t="shared" si="1"/>
        <v>252837.80724000285</v>
      </c>
    </row>
    <row r="48" spans="2:8" x14ac:dyDescent="0.25">
      <c r="B48" s="23">
        <f>IF(41&lt;='DSCR Calculator'!$C$8*12,41,"")</f>
        <v>41</v>
      </c>
      <c r="C48" s="24">
        <f ca="1">IF($B48="","",EDATE(TODAY(),41))</f>
        <v>47509</v>
      </c>
      <c r="D48" s="18">
        <f t="shared" si="2"/>
        <v>252837.80724000285</v>
      </c>
      <c r="E48" s="18">
        <f>IF($B48="","",MIN('DSCR Calculator'!$C$23,D48+F48))</f>
        <v>1746.4190498453543</v>
      </c>
      <c r="F48" s="18">
        <f>IF($B48="","",D48*('DSCR Calculator'!$C$7/12))</f>
        <v>1474.8872089000167</v>
      </c>
      <c r="G48" s="18">
        <f t="shared" si="0"/>
        <v>271.53184094533754</v>
      </c>
      <c r="H48" s="18">
        <f t="shared" si="1"/>
        <v>252566.27539905751</v>
      </c>
    </row>
    <row r="49" spans="2:8" x14ac:dyDescent="0.25">
      <c r="B49" s="23">
        <f>IF(42&lt;='DSCR Calculator'!$C$8*12,42,"")</f>
        <v>42</v>
      </c>
      <c r="C49" s="24">
        <f ca="1">IF($B49="","",EDATE(TODAY(),42))</f>
        <v>47540</v>
      </c>
      <c r="D49" s="18">
        <f t="shared" si="2"/>
        <v>252566.27539905751</v>
      </c>
      <c r="E49" s="18">
        <f>IF($B49="","",MIN('DSCR Calculator'!$C$23,D49+F49))</f>
        <v>1746.4190498453543</v>
      </c>
      <c r="F49" s="18">
        <f>IF($B49="","",D49*('DSCR Calculator'!$C$7/12))</f>
        <v>1473.3032731611688</v>
      </c>
      <c r="G49" s="18">
        <f t="shared" si="0"/>
        <v>273.11577668418545</v>
      </c>
      <c r="H49" s="18">
        <f t="shared" si="1"/>
        <v>252293.15962237332</v>
      </c>
    </row>
    <row r="50" spans="2:8" x14ac:dyDescent="0.25">
      <c r="B50" s="23">
        <f>IF(43&lt;='DSCR Calculator'!$C$8*12,43,"")</f>
        <v>43</v>
      </c>
      <c r="C50" s="24">
        <f ca="1">IF($B50="","",EDATE(TODAY(),43))</f>
        <v>47568</v>
      </c>
      <c r="D50" s="18">
        <f t="shared" si="2"/>
        <v>252293.15962237332</v>
      </c>
      <c r="E50" s="18">
        <f>IF($B50="","",MIN('DSCR Calculator'!$C$23,D50+F50))</f>
        <v>1746.4190498453543</v>
      </c>
      <c r="F50" s="18">
        <f>IF($B50="","",D50*('DSCR Calculator'!$C$7/12))</f>
        <v>1471.7100977971777</v>
      </c>
      <c r="G50" s="18">
        <f t="shared" si="0"/>
        <v>274.70895204817657</v>
      </c>
      <c r="H50" s="18">
        <f t="shared" si="1"/>
        <v>252018.45067032514</v>
      </c>
    </row>
    <row r="51" spans="2:8" x14ac:dyDescent="0.25">
      <c r="B51" s="23">
        <f>IF(44&lt;='DSCR Calculator'!$C$8*12,44,"")</f>
        <v>44</v>
      </c>
      <c r="C51" s="24">
        <f ca="1">IF($B51="","",EDATE(TODAY(),44))</f>
        <v>47599</v>
      </c>
      <c r="D51" s="18">
        <f t="shared" si="2"/>
        <v>252018.45067032514</v>
      </c>
      <c r="E51" s="18">
        <f>IF($B51="","",MIN('DSCR Calculator'!$C$23,D51+F51))</f>
        <v>1746.4190498453543</v>
      </c>
      <c r="F51" s="18">
        <f>IF($B51="","",D51*('DSCR Calculator'!$C$7/12))</f>
        <v>1470.10762891023</v>
      </c>
      <c r="G51" s="18">
        <f t="shared" si="0"/>
        <v>276.31142093512426</v>
      </c>
      <c r="H51" s="18">
        <f t="shared" si="1"/>
        <v>251742.13924939002</v>
      </c>
    </row>
    <row r="52" spans="2:8" x14ac:dyDescent="0.25">
      <c r="B52" s="23">
        <f>IF(45&lt;='DSCR Calculator'!$C$8*12,45,"")</f>
        <v>45</v>
      </c>
      <c r="C52" s="24">
        <f ca="1">IF($B52="","",EDATE(TODAY(),45))</f>
        <v>47629</v>
      </c>
      <c r="D52" s="18">
        <f t="shared" si="2"/>
        <v>251742.13924939002</v>
      </c>
      <c r="E52" s="18">
        <f>IF($B52="","",MIN('DSCR Calculator'!$C$23,D52+F52))</f>
        <v>1746.4190498453543</v>
      </c>
      <c r="F52" s="18">
        <f>IF($B52="","",D52*('DSCR Calculator'!$C$7/12))</f>
        <v>1468.4958122881085</v>
      </c>
      <c r="G52" s="18">
        <f t="shared" si="0"/>
        <v>277.92323755724578</v>
      </c>
      <c r="H52" s="18">
        <f t="shared" si="1"/>
        <v>251464.21601183279</v>
      </c>
    </row>
    <row r="53" spans="2:8" x14ac:dyDescent="0.25">
      <c r="B53" s="23">
        <f>IF(46&lt;='DSCR Calculator'!$C$8*12,46,"")</f>
        <v>46</v>
      </c>
      <c r="C53" s="24">
        <f ca="1">IF($B53="","",EDATE(TODAY(),46))</f>
        <v>47660</v>
      </c>
      <c r="D53" s="18">
        <f t="shared" si="2"/>
        <v>251464.21601183279</v>
      </c>
      <c r="E53" s="18">
        <f>IF($B53="","",MIN('DSCR Calculator'!$C$23,D53+F53))</f>
        <v>1746.4190498453543</v>
      </c>
      <c r="F53" s="18">
        <f>IF($B53="","",D53*('DSCR Calculator'!$C$7/12))</f>
        <v>1466.874593402358</v>
      </c>
      <c r="G53" s="18">
        <f t="shared" si="0"/>
        <v>279.54445644299631</v>
      </c>
      <c r="H53" s="18">
        <f t="shared" si="1"/>
        <v>251184.6715553898</v>
      </c>
    </row>
    <row r="54" spans="2:8" x14ac:dyDescent="0.25">
      <c r="B54" s="23">
        <f>IF(47&lt;='DSCR Calculator'!$C$8*12,47,"")</f>
        <v>47</v>
      </c>
      <c r="C54" s="24">
        <f ca="1">IF($B54="","",EDATE(TODAY(),47))</f>
        <v>47690</v>
      </c>
      <c r="D54" s="18">
        <f t="shared" si="2"/>
        <v>251184.6715553898</v>
      </c>
      <c r="E54" s="18">
        <f>IF($B54="","",MIN('DSCR Calculator'!$C$23,D54+F54))</f>
        <v>1746.4190498453543</v>
      </c>
      <c r="F54" s="18">
        <f>IF($B54="","",D54*('DSCR Calculator'!$C$7/12))</f>
        <v>1465.2439174064405</v>
      </c>
      <c r="G54" s="18">
        <f t="shared" si="0"/>
        <v>281.17513243891381</v>
      </c>
      <c r="H54" s="18">
        <f t="shared" si="1"/>
        <v>250903.49642295088</v>
      </c>
    </row>
    <row r="55" spans="2:8" x14ac:dyDescent="0.25">
      <c r="B55" s="23">
        <f>IF(48&lt;='DSCR Calculator'!$C$8*12,48,"")</f>
        <v>48</v>
      </c>
      <c r="C55" s="24">
        <f ca="1">IF($B55="","",EDATE(TODAY(),48))</f>
        <v>47721</v>
      </c>
      <c r="D55" s="18">
        <f t="shared" si="2"/>
        <v>250903.49642295088</v>
      </c>
      <c r="E55" s="18">
        <f>IF($B55="","",MIN('DSCR Calculator'!$C$23,D55+F55))</f>
        <v>1746.4190498453543</v>
      </c>
      <c r="F55" s="18">
        <f>IF($B55="","",D55*('DSCR Calculator'!$C$7/12))</f>
        <v>1463.6037291338803</v>
      </c>
      <c r="G55" s="18">
        <f t="shared" si="0"/>
        <v>282.81532071147399</v>
      </c>
      <c r="H55" s="18">
        <f t="shared" si="1"/>
        <v>250620.68110223941</v>
      </c>
    </row>
    <row r="56" spans="2:8" x14ac:dyDescent="0.25">
      <c r="B56" s="23">
        <f>IF(49&lt;='DSCR Calculator'!$C$8*12,49,"")</f>
        <v>49</v>
      </c>
      <c r="C56" s="24">
        <f ca="1">IF($B56="","",EDATE(TODAY(),49))</f>
        <v>47752</v>
      </c>
      <c r="D56" s="18">
        <f t="shared" si="2"/>
        <v>250620.68110223941</v>
      </c>
      <c r="E56" s="18">
        <f>IF($B56="","",MIN('DSCR Calculator'!$C$23,D56+F56))</f>
        <v>1746.4190498453543</v>
      </c>
      <c r="F56" s="18">
        <f>IF($B56="","",D56*('DSCR Calculator'!$C$7/12))</f>
        <v>1461.9539730963966</v>
      </c>
      <c r="G56" s="18">
        <f t="shared" si="0"/>
        <v>284.4650767489577</v>
      </c>
      <c r="H56" s="18">
        <f t="shared" si="1"/>
        <v>250336.21602549046</v>
      </c>
    </row>
    <row r="57" spans="2:8" x14ac:dyDescent="0.25">
      <c r="B57" s="23">
        <f>IF(50&lt;='DSCR Calculator'!$C$8*12,50,"")</f>
        <v>50</v>
      </c>
      <c r="C57" s="24">
        <f ca="1">IF($B57="","",EDATE(TODAY(),50))</f>
        <v>47782</v>
      </c>
      <c r="D57" s="18">
        <f t="shared" si="2"/>
        <v>250336.21602549046</v>
      </c>
      <c r="E57" s="18">
        <f>IF($B57="","",MIN('DSCR Calculator'!$C$23,D57+F57))</f>
        <v>1746.4190498453543</v>
      </c>
      <c r="F57" s="18">
        <f>IF($B57="","",D57*('DSCR Calculator'!$C$7/12))</f>
        <v>1460.2945934820277</v>
      </c>
      <c r="G57" s="18">
        <f t="shared" si="0"/>
        <v>286.12445636332654</v>
      </c>
      <c r="H57" s="18">
        <f t="shared" si="1"/>
        <v>250050.09156912714</v>
      </c>
    </row>
    <row r="58" spans="2:8" x14ac:dyDescent="0.25">
      <c r="B58" s="23">
        <f>IF(51&lt;='DSCR Calculator'!$C$8*12,51,"")</f>
        <v>51</v>
      </c>
      <c r="C58" s="24">
        <f ca="1">IF($B58="","",EDATE(TODAY(),51))</f>
        <v>47813</v>
      </c>
      <c r="D58" s="18">
        <f t="shared" si="2"/>
        <v>250050.09156912714</v>
      </c>
      <c r="E58" s="18">
        <f>IF($B58="","",MIN('DSCR Calculator'!$C$23,D58+F58))</f>
        <v>1746.4190498453543</v>
      </c>
      <c r="F58" s="18">
        <f>IF($B58="","",D58*('DSCR Calculator'!$C$7/12))</f>
        <v>1458.6255341532417</v>
      </c>
      <c r="G58" s="18">
        <f t="shared" si="0"/>
        <v>287.79351569211258</v>
      </c>
      <c r="H58" s="18">
        <f t="shared" si="1"/>
        <v>249762.29805343502</v>
      </c>
    </row>
    <row r="59" spans="2:8" x14ac:dyDescent="0.25">
      <c r="B59" s="23">
        <f>IF(52&lt;='DSCR Calculator'!$C$8*12,52,"")</f>
        <v>52</v>
      </c>
      <c r="C59" s="24">
        <f ca="1">IF($B59="","",EDATE(TODAY(),52))</f>
        <v>47843</v>
      </c>
      <c r="D59" s="18">
        <f t="shared" si="2"/>
        <v>249762.29805343502</v>
      </c>
      <c r="E59" s="18">
        <f>IF($B59="","",MIN('DSCR Calculator'!$C$23,D59+F59))</f>
        <v>1746.4190498453543</v>
      </c>
      <c r="F59" s="18">
        <f>IF($B59="","",D59*('DSCR Calculator'!$C$7/12))</f>
        <v>1456.9467386450376</v>
      </c>
      <c r="G59" s="18">
        <f t="shared" si="0"/>
        <v>289.47231120031665</v>
      </c>
      <c r="H59" s="18">
        <f t="shared" si="1"/>
        <v>249472.82574223471</v>
      </c>
    </row>
    <row r="60" spans="2:8" x14ac:dyDescent="0.25">
      <c r="B60" s="23">
        <f>IF(53&lt;='DSCR Calculator'!$C$8*12,53,"")</f>
        <v>53</v>
      </c>
      <c r="C60" s="24">
        <f ca="1">IF($B60="","",EDATE(TODAY(),53))</f>
        <v>47874</v>
      </c>
      <c r="D60" s="18">
        <f t="shared" si="2"/>
        <v>249472.82574223471</v>
      </c>
      <c r="E60" s="18">
        <f>IF($B60="","",MIN('DSCR Calculator'!$C$23,D60+F60))</f>
        <v>1746.4190498453543</v>
      </c>
      <c r="F60" s="18">
        <f>IF($B60="","",D60*('DSCR Calculator'!$C$7/12))</f>
        <v>1455.2581501630359</v>
      </c>
      <c r="G60" s="18">
        <f t="shared" si="0"/>
        <v>291.16089968231836</v>
      </c>
      <c r="H60" s="18">
        <f t="shared" si="1"/>
        <v>249181.66484255239</v>
      </c>
    </row>
    <row r="61" spans="2:8" x14ac:dyDescent="0.25">
      <c r="B61" s="23">
        <f>IF(54&lt;='DSCR Calculator'!$C$8*12,54,"")</f>
        <v>54</v>
      </c>
      <c r="C61" s="24">
        <f ca="1">IF($B61="","",EDATE(TODAY(),54))</f>
        <v>47905</v>
      </c>
      <c r="D61" s="18">
        <f t="shared" si="2"/>
        <v>249181.66484255239</v>
      </c>
      <c r="E61" s="18">
        <f>IF($B61="","",MIN('DSCR Calculator'!$C$23,D61+F61))</f>
        <v>1746.4190498453543</v>
      </c>
      <c r="F61" s="18">
        <f>IF($B61="","",D61*('DSCR Calculator'!$C$7/12))</f>
        <v>1453.5597115815556</v>
      </c>
      <c r="G61" s="18">
        <f t="shared" si="0"/>
        <v>292.85933826379869</v>
      </c>
      <c r="H61" s="18">
        <f t="shared" si="1"/>
        <v>248888.80550428858</v>
      </c>
    </row>
    <row r="62" spans="2:8" x14ac:dyDescent="0.25">
      <c r="B62" s="23">
        <f>IF(55&lt;='DSCR Calculator'!$C$8*12,55,"")</f>
        <v>55</v>
      </c>
      <c r="C62" s="24">
        <f ca="1">IF($B62="","",EDATE(TODAY(),55))</f>
        <v>47933</v>
      </c>
      <c r="D62" s="18">
        <f t="shared" si="2"/>
        <v>248888.80550428858</v>
      </c>
      <c r="E62" s="18">
        <f>IF($B62="","",MIN('DSCR Calculator'!$C$23,D62+F62))</f>
        <v>1746.4190498453543</v>
      </c>
      <c r="F62" s="18">
        <f>IF($B62="","",D62*('DSCR Calculator'!$C$7/12))</f>
        <v>1451.8513654416834</v>
      </c>
      <c r="G62" s="18">
        <f t="shared" si="0"/>
        <v>294.56768440367091</v>
      </c>
      <c r="H62" s="18">
        <f t="shared" si="1"/>
        <v>248594.2378198849</v>
      </c>
    </row>
    <row r="63" spans="2:8" x14ac:dyDescent="0.25">
      <c r="B63" s="23">
        <f>IF(56&lt;='DSCR Calculator'!$C$8*12,56,"")</f>
        <v>56</v>
      </c>
      <c r="C63" s="24">
        <f ca="1">IF($B63="","",EDATE(TODAY(),56))</f>
        <v>47964</v>
      </c>
      <c r="D63" s="18">
        <f t="shared" si="2"/>
        <v>248594.2378198849</v>
      </c>
      <c r="E63" s="18">
        <f>IF($B63="","",MIN('DSCR Calculator'!$C$23,D63+F63))</f>
        <v>1746.4190498453543</v>
      </c>
      <c r="F63" s="18">
        <f>IF($B63="","",D63*('DSCR Calculator'!$C$7/12))</f>
        <v>1450.1330539493288</v>
      </c>
      <c r="G63" s="18">
        <f t="shared" si="0"/>
        <v>296.2859958960255</v>
      </c>
      <c r="H63" s="18">
        <f t="shared" si="1"/>
        <v>248297.95182398887</v>
      </c>
    </row>
    <row r="64" spans="2:8" x14ac:dyDescent="0.25">
      <c r="B64" s="23">
        <f>IF(57&lt;='DSCR Calculator'!$C$8*12,57,"")</f>
        <v>57</v>
      </c>
      <c r="C64" s="24">
        <f ca="1">IF($B64="","",EDATE(TODAY(),57))</f>
        <v>47994</v>
      </c>
      <c r="D64" s="18">
        <f t="shared" si="2"/>
        <v>248297.95182398887</v>
      </c>
      <c r="E64" s="18">
        <f>IF($B64="","",MIN('DSCR Calculator'!$C$23,D64+F64))</f>
        <v>1746.4190498453543</v>
      </c>
      <c r="F64" s="18">
        <f>IF($B64="","",D64*('DSCR Calculator'!$C$7/12))</f>
        <v>1448.4047189732685</v>
      </c>
      <c r="G64" s="18">
        <f t="shared" si="0"/>
        <v>298.01433087208579</v>
      </c>
      <c r="H64" s="18">
        <f t="shared" si="1"/>
        <v>247999.9374931168</v>
      </c>
    </row>
    <row r="65" spans="2:8" x14ac:dyDescent="0.25">
      <c r="B65" s="23">
        <f>IF(58&lt;='DSCR Calculator'!$C$8*12,58,"")</f>
        <v>58</v>
      </c>
      <c r="C65" s="24">
        <f ca="1">IF($B65="","",EDATE(TODAY(),58))</f>
        <v>48025</v>
      </c>
      <c r="D65" s="18">
        <f t="shared" si="2"/>
        <v>247999.9374931168</v>
      </c>
      <c r="E65" s="18">
        <f>IF($B65="","",MIN('DSCR Calculator'!$C$23,D65+F65))</f>
        <v>1746.4190498453543</v>
      </c>
      <c r="F65" s="18">
        <f>IF($B65="","",D65*('DSCR Calculator'!$C$7/12))</f>
        <v>1446.6663020431813</v>
      </c>
      <c r="G65" s="18">
        <f t="shared" si="0"/>
        <v>299.75274780217296</v>
      </c>
      <c r="H65" s="18">
        <f t="shared" si="1"/>
        <v>247700.18474531462</v>
      </c>
    </row>
    <row r="66" spans="2:8" x14ac:dyDescent="0.25">
      <c r="B66" s="23">
        <f>IF(59&lt;='DSCR Calculator'!$C$8*12,59,"")</f>
        <v>59</v>
      </c>
      <c r="C66" s="24">
        <f ca="1">IF($B66="","",EDATE(TODAY(),59))</f>
        <v>48055</v>
      </c>
      <c r="D66" s="18">
        <f t="shared" si="2"/>
        <v>247700.18474531462</v>
      </c>
      <c r="E66" s="18">
        <f>IF($B66="","",MIN('DSCR Calculator'!$C$23,D66+F66))</f>
        <v>1746.4190498453543</v>
      </c>
      <c r="F66" s="18">
        <f>IF($B66="","",D66*('DSCR Calculator'!$C$7/12))</f>
        <v>1444.9177443476688</v>
      </c>
      <c r="G66" s="18">
        <f t="shared" si="0"/>
        <v>301.50130549768551</v>
      </c>
      <c r="H66" s="18">
        <f t="shared" si="1"/>
        <v>247398.68343981693</v>
      </c>
    </row>
    <row r="67" spans="2:8" x14ac:dyDescent="0.25">
      <c r="B67" s="23">
        <f>IF(60&lt;='DSCR Calculator'!$C$8*12,60,"")</f>
        <v>60</v>
      </c>
      <c r="C67" s="24">
        <f ca="1">IF($B67="","",EDATE(TODAY(),60))</f>
        <v>48086</v>
      </c>
      <c r="D67" s="18">
        <f t="shared" si="2"/>
        <v>247398.68343981693</v>
      </c>
      <c r="E67" s="18">
        <f>IF($B67="","",MIN('DSCR Calculator'!$C$23,D67+F67))</f>
        <v>1746.4190498453543</v>
      </c>
      <c r="F67" s="18">
        <f>IF($B67="","",D67*('DSCR Calculator'!$C$7/12))</f>
        <v>1443.1589867322655</v>
      </c>
      <c r="G67" s="18">
        <f t="shared" si="0"/>
        <v>303.26006311308879</v>
      </c>
      <c r="H67" s="18">
        <f t="shared" si="1"/>
        <v>247095.42337670384</v>
      </c>
    </row>
    <row r="68" spans="2:8" x14ac:dyDescent="0.25">
      <c r="B68" s="23">
        <f>IF(61&lt;='DSCR Calculator'!$C$8*12,61,"")</f>
        <v>61</v>
      </c>
      <c r="C68" s="24">
        <f ca="1">IF($B68="","",EDATE(TODAY(),61))</f>
        <v>48117</v>
      </c>
      <c r="D68" s="18">
        <f t="shared" si="2"/>
        <v>247095.42337670384</v>
      </c>
      <c r="E68" s="18">
        <f>IF($B68="","",MIN('DSCR Calculator'!$C$23,D68+F68))</f>
        <v>1746.4190498453543</v>
      </c>
      <c r="F68" s="18">
        <f>IF($B68="","",D68*('DSCR Calculator'!$C$7/12))</f>
        <v>1441.389969697439</v>
      </c>
      <c r="G68" s="18">
        <f t="shared" si="0"/>
        <v>305.02908014791524</v>
      </c>
      <c r="H68" s="18">
        <f t="shared" si="1"/>
        <v>246790.39429655593</v>
      </c>
    </row>
    <row r="69" spans="2:8" x14ac:dyDescent="0.25">
      <c r="B69" s="23">
        <f>IF(62&lt;='DSCR Calculator'!$C$8*12,62,"")</f>
        <v>62</v>
      </c>
      <c r="C69" s="24">
        <f ca="1">IF($B69="","",EDATE(TODAY(),62))</f>
        <v>48147</v>
      </c>
      <c r="D69" s="18">
        <f t="shared" si="2"/>
        <v>246790.39429655593</v>
      </c>
      <c r="E69" s="18">
        <f>IF($B69="","",MIN('DSCR Calculator'!$C$23,D69+F69))</f>
        <v>1746.4190498453543</v>
      </c>
      <c r="F69" s="18">
        <f>IF($B69="","",D69*('DSCR Calculator'!$C$7/12))</f>
        <v>1439.6106333965763</v>
      </c>
      <c r="G69" s="18">
        <f t="shared" si="0"/>
        <v>306.80841644877796</v>
      </c>
      <c r="H69" s="18">
        <f t="shared" si="1"/>
        <v>246483.58588010716</v>
      </c>
    </row>
    <row r="70" spans="2:8" x14ac:dyDescent="0.25">
      <c r="B70" s="23">
        <f>IF(63&lt;='DSCR Calculator'!$C$8*12,63,"")</f>
        <v>63</v>
      </c>
      <c r="C70" s="24">
        <f ca="1">IF($B70="","",EDATE(TODAY(),63))</f>
        <v>48178</v>
      </c>
      <c r="D70" s="18">
        <f t="shared" si="2"/>
        <v>246483.58588010716</v>
      </c>
      <c r="E70" s="18">
        <f>IF($B70="","",MIN('DSCR Calculator'!$C$23,D70+F70))</f>
        <v>1746.4190498453543</v>
      </c>
      <c r="F70" s="18">
        <f>IF($B70="","",D70*('DSCR Calculator'!$C$7/12))</f>
        <v>1437.8209176339585</v>
      </c>
      <c r="G70" s="18">
        <f t="shared" si="0"/>
        <v>308.59813221139575</v>
      </c>
      <c r="H70" s="18">
        <f t="shared" si="1"/>
        <v>246174.98774789576</v>
      </c>
    </row>
    <row r="71" spans="2:8" x14ac:dyDescent="0.25">
      <c r="B71" s="23">
        <f>IF(64&lt;='DSCR Calculator'!$C$8*12,64,"")</f>
        <v>64</v>
      </c>
      <c r="C71" s="24">
        <f ca="1">IF($B71="","",EDATE(TODAY(),64))</f>
        <v>48208</v>
      </c>
      <c r="D71" s="18">
        <f t="shared" si="2"/>
        <v>246174.98774789576</v>
      </c>
      <c r="E71" s="18">
        <f>IF($B71="","",MIN('DSCR Calculator'!$C$23,D71+F71))</f>
        <v>1746.4190498453543</v>
      </c>
      <c r="F71" s="18">
        <f>IF($B71="","",D71*('DSCR Calculator'!$C$7/12))</f>
        <v>1436.0207618627253</v>
      </c>
      <c r="G71" s="18">
        <f t="shared" si="0"/>
        <v>310.39828798262897</v>
      </c>
      <c r="H71" s="18">
        <f t="shared" si="1"/>
        <v>245864.58945991314</v>
      </c>
    </row>
    <row r="72" spans="2:8" x14ac:dyDescent="0.25">
      <c r="B72" s="23">
        <f>IF(65&lt;='DSCR Calculator'!$C$8*12,65,"")</f>
        <v>65</v>
      </c>
      <c r="C72" s="24">
        <f ca="1">IF($B72="","",EDATE(TODAY(),65))</f>
        <v>48239</v>
      </c>
      <c r="D72" s="18">
        <f t="shared" si="2"/>
        <v>245864.58945991314</v>
      </c>
      <c r="E72" s="18">
        <f>IF($B72="","",MIN('DSCR Calculator'!$C$23,D72+F72))</f>
        <v>1746.4190498453543</v>
      </c>
      <c r="F72" s="18">
        <f>IF($B72="","",D72*('DSCR Calculator'!$C$7/12))</f>
        <v>1434.2101051828267</v>
      </c>
      <c r="G72" s="18">
        <f t="shared" ref="G72:G135" si="3">IF($B72="","",E72-F72)</f>
        <v>312.20894466252753</v>
      </c>
      <c r="H72" s="18">
        <f t="shared" ref="H72:H135" si="4">IF($B72="","",D72-G72)</f>
        <v>245552.38051525061</v>
      </c>
    </row>
    <row r="73" spans="2:8" x14ac:dyDescent="0.25">
      <c r="B73" s="23">
        <f>IF(66&lt;='DSCR Calculator'!$C$8*12,66,"")</f>
        <v>66</v>
      </c>
      <c r="C73" s="24">
        <f ca="1">IF($B73="","",EDATE(TODAY(),66))</f>
        <v>48270</v>
      </c>
      <c r="D73" s="18">
        <f t="shared" ref="D73:D136" si="5">IF($B73="","",H72)</f>
        <v>245552.38051525061</v>
      </c>
      <c r="E73" s="18">
        <f>IF($B73="","",MIN('DSCR Calculator'!$C$23,D73+F73))</f>
        <v>1746.4190498453543</v>
      </c>
      <c r="F73" s="18">
        <f>IF($B73="","",D73*('DSCR Calculator'!$C$7/12))</f>
        <v>1432.388886338962</v>
      </c>
      <c r="G73" s="18">
        <f t="shared" si="3"/>
        <v>314.03016350639223</v>
      </c>
      <c r="H73" s="18">
        <f t="shared" si="4"/>
        <v>245238.35035174422</v>
      </c>
    </row>
    <row r="74" spans="2:8" x14ac:dyDescent="0.25">
      <c r="B74" s="23">
        <f>IF(67&lt;='DSCR Calculator'!$C$8*12,67,"")</f>
        <v>67</v>
      </c>
      <c r="C74" s="24">
        <f ca="1">IF($B74="","",EDATE(TODAY(),67))</f>
        <v>48299</v>
      </c>
      <c r="D74" s="18">
        <f t="shared" si="5"/>
        <v>245238.35035174422</v>
      </c>
      <c r="E74" s="18">
        <f>IF($B74="","",MIN('DSCR Calculator'!$C$23,D74+F74))</f>
        <v>1746.4190498453543</v>
      </c>
      <c r="F74" s="18">
        <f>IF($B74="","",D74*('DSCR Calculator'!$C$7/12))</f>
        <v>1430.5570437185079</v>
      </c>
      <c r="G74" s="18">
        <f t="shared" si="3"/>
        <v>315.86200612684638</v>
      </c>
      <c r="H74" s="18">
        <f t="shared" si="4"/>
        <v>244922.48834561737</v>
      </c>
    </row>
    <row r="75" spans="2:8" x14ac:dyDescent="0.25">
      <c r="B75" s="23">
        <f>IF(68&lt;='DSCR Calculator'!$C$8*12,68,"")</f>
        <v>68</v>
      </c>
      <c r="C75" s="24">
        <f ca="1">IF($B75="","",EDATE(TODAY(),68))</f>
        <v>48330</v>
      </c>
      <c r="D75" s="18">
        <f t="shared" si="5"/>
        <v>244922.48834561737</v>
      </c>
      <c r="E75" s="18">
        <f>IF($B75="","",MIN('DSCR Calculator'!$C$23,D75+F75))</f>
        <v>1746.4190498453543</v>
      </c>
      <c r="F75" s="18">
        <f>IF($B75="","",D75*('DSCR Calculator'!$C$7/12))</f>
        <v>1428.7145153494348</v>
      </c>
      <c r="G75" s="18">
        <f t="shared" si="3"/>
        <v>317.70453449591946</v>
      </c>
      <c r="H75" s="18">
        <f t="shared" si="4"/>
        <v>244604.78381112145</v>
      </c>
    </row>
    <row r="76" spans="2:8" x14ac:dyDescent="0.25">
      <c r="B76" s="23">
        <f>IF(69&lt;='DSCR Calculator'!$C$8*12,69,"")</f>
        <v>69</v>
      </c>
      <c r="C76" s="24">
        <f ca="1">IF($B76="","",EDATE(TODAY(),69))</f>
        <v>48360</v>
      </c>
      <c r="D76" s="18">
        <f t="shared" si="5"/>
        <v>244604.78381112145</v>
      </c>
      <c r="E76" s="18">
        <f>IF($B76="","",MIN('DSCR Calculator'!$C$23,D76+F76))</f>
        <v>1746.4190498453543</v>
      </c>
      <c r="F76" s="18">
        <f>IF($B76="","",D76*('DSCR Calculator'!$C$7/12))</f>
        <v>1426.8612388982085</v>
      </c>
      <c r="G76" s="18">
        <f t="shared" si="3"/>
        <v>319.55781094714575</v>
      </c>
      <c r="H76" s="18">
        <f t="shared" si="4"/>
        <v>244285.2260001743</v>
      </c>
    </row>
    <row r="77" spans="2:8" x14ac:dyDescent="0.25">
      <c r="B77" s="23">
        <f>IF(70&lt;='DSCR Calculator'!$C$8*12,70,"")</f>
        <v>70</v>
      </c>
      <c r="C77" s="24">
        <f ca="1">IF($B77="","",EDATE(TODAY(),70))</f>
        <v>48391</v>
      </c>
      <c r="D77" s="18">
        <f t="shared" si="5"/>
        <v>244285.2260001743</v>
      </c>
      <c r="E77" s="18">
        <f>IF($B77="","",MIN('DSCR Calculator'!$C$23,D77+F77))</f>
        <v>1746.4190498453543</v>
      </c>
      <c r="F77" s="18">
        <f>IF($B77="","",D77*('DSCR Calculator'!$C$7/12))</f>
        <v>1424.9971516676835</v>
      </c>
      <c r="G77" s="18">
        <f t="shared" si="3"/>
        <v>321.42189817767076</v>
      </c>
      <c r="H77" s="18">
        <f t="shared" si="4"/>
        <v>243963.80410199662</v>
      </c>
    </row>
    <row r="78" spans="2:8" x14ac:dyDescent="0.25">
      <c r="B78" s="23">
        <f>IF(71&lt;='DSCR Calculator'!$C$8*12,71,"")</f>
        <v>71</v>
      </c>
      <c r="C78" s="24">
        <f ca="1">IF($B78="","",EDATE(TODAY(),71))</f>
        <v>48421</v>
      </c>
      <c r="D78" s="18">
        <f t="shared" si="5"/>
        <v>243963.80410199662</v>
      </c>
      <c r="E78" s="18">
        <f>IF($B78="","",MIN('DSCR Calculator'!$C$23,D78+F78))</f>
        <v>1746.4190498453543</v>
      </c>
      <c r="F78" s="18">
        <f>IF($B78="","",D78*('DSCR Calculator'!$C$7/12))</f>
        <v>1423.1221905949803</v>
      </c>
      <c r="G78" s="18">
        <f t="shared" si="3"/>
        <v>323.29685925037393</v>
      </c>
      <c r="H78" s="18">
        <f t="shared" si="4"/>
        <v>243640.50724274624</v>
      </c>
    </row>
    <row r="79" spans="2:8" x14ac:dyDescent="0.25">
      <c r="B79" s="23">
        <f>IF(72&lt;='DSCR Calculator'!$C$8*12,72,"")</f>
        <v>72</v>
      </c>
      <c r="C79" s="24">
        <f ca="1">IF($B79="","",EDATE(TODAY(),72))</f>
        <v>48452</v>
      </c>
      <c r="D79" s="18">
        <f t="shared" si="5"/>
        <v>243640.50724274624</v>
      </c>
      <c r="E79" s="18">
        <f>IF($B79="","",MIN('DSCR Calculator'!$C$23,D79+F79))</f>
        <v>1746.4190498453543</v>
      </c>
      <c r="F79" s="18">
        <f>IF($B79="","",D79*('DSCR Calculator'!$C$7/12))</f>
        <v>1421.2362922493533</v>
      </c>
      <c r="G79" s="18">
        <f t="shared" si="3"/>
        <v>325.18275759600101</v>
      </c>
      <c r="H79" s="18">
        <f t="shared" si="4"/>
        <v>243315.32448515025</v>
      </c>
    </row>
    <row r="80" spans="2:8" x14ac:dyDescent="0.25">
      <c r="B80" s="23">
        <f>IF(73&lt;='DSCR Calculator'!$C$8*12,73,"")</f>
        <v>73</v>
      </c>
      <c r="C80" s="24">
        <f ca="1">IF($B80="","",EDATE(TODAY(),73))</f>
        <v>48483</v>
      </c>
      <c r="D80" s="18">
        <f t="shared" si="5"/>
        <v>243315.32448515025</v>
      </c>
      <c r="E80" s="18">
        <f>IF($B80="","",MIN('DSCR Calculator'!$C$23,D80+F80))</f>
        <v>1746.4190498453543</v>
      </c>
      <c r="F80" s="18">
        <f>IF($B80="","",D80*('DSCR Calculator'!$C$7/12))</f>
        <v>1419.3393928300432</v>
      </c>
      <c r="G80" s="18">
        <f t="shared" si="3"/>
        <v>327.07965701531111</v>
      </c>
      <c r="H80" s="18">
        <f t="shared" si="4"/>
        <v>242988.24482813495</v>
      </c>
    </row>
    <row r="81" spans="2:8" x14ac:dyDescent="0.25">
      <c r="B81" s="23">
        <f>IF(74&lt;='DSCR Calculator'!$C$8*12,74,"")</f>
        <v>74</v>
      </c>
      <c r="C81" s="24">
        <f ca="1">IF($B81="","",EDATE(TODAY(),74))</f>
        <v>48513</v>
      </c>
      <c r="D81" s="18">
        <f t="shared" si="5"/>
        <v>242988.24482813495</v>
      </c>
      <c r="E81" s="18">
        <f>IF($B81="","",MIN('DSCR Calculator'!$C$23,D81+F81))</f>
        <v>1746.4190498453543</v>
      </c>
      <c r="F81" s="18">
        <f>IF($B81="","",D81*('DSCR Calculator'!$C$7/12))</f>
        <v>1417.4314281641207</v>
      </c>
      <c r="G81" s="18">
        <f t="shared" si="3"/>
        <v>328.98762168123358</v>
      </c>
      <c r="H81" s="18">
        <f t="shared" si="4"/>
        <v>242659.25720645371</v>
      </c>
    </row>
    <row r="82" spans="2:8" x14ac:dyDescent="0.25">
      <c r="B82" s="23">
        <f>IF(75&lt;='DSCR Calculator'!$C$8*12,75,"")</f>
        <v>75</v>
      </c>
      <c r="C82" s="24">
        <f ca="1">IF($B82="","",EDATE(TODAY(),75))</f>
        <v>48544</v>
      </c>
      <c r="D82" s="18">
        <f t="shared" si="5"/>
        <v>242659.25720645371</v>
      </c>
      <c r="E82" s="18">
        <f>IF($B82="","",MIN('DSCR Calculator'!$C$23,D82+F82))</f>
        <v>1746.4190498453543</v>
      </c>
      <c r="F82" s="18">
        <f>IF($B82="","",D82*('DSCR Calculator'!$C$7/12))</f>
        <v>1415.5123337043133</v>
      </c>
      <c r="G82" s="18">
        <f t="shared" si="3"/>
        <v>330.90671614104099</v>
      </c>
      <c r="H82" s="18">
        <f t="shared" si="4"/>
        <v>242328.35049031267</v>
      </c>
    </row>
    <row r="83" spans="2:8" x14ac:dyDescent="0.25">
      <c r="B83" s="23">
        <f>IF(76&lt;='DSCR Calculator'!$C$8*12,76,"")</f>
        <v>76</v>
      </c>
      <c r="C83" s="24">
        <f ca="1">IF($B83="","",EDATE(TODAY(),76))</f>
        <v>48574</v>
      </c>
      <c r="D83" s="18">
        <f t="shared" si="5"/>
        <v>242328.35049031267</v>
      </c>
      <c r="E83" s="18">
        <f>IF($B83="","",MIN('DSCR Calculator'!$C$23,D83+F83))</f>
        <v>1746.4190498453543</v>
      </c>
      <c r="F83" s="18">
        <f>IF($B83="","",D83*('DSCR Calculator'!$C$7/12))</f>
        <v>1413.5820445268239</v>
      </c>
      <c r="G83" s="18">
        <f t="shared" si="3"/>
        <v>332.83700531853037</v>
      </c>
      <c r="H83" s="18">
        <f t="shared" si="4"/>
        <v>241995.51348499415</v>
      </c>
    </row>
    <row r="84" spans="2:8" x14ac:dyDescent="0.25">
      <c r="B84" s="23">
        <f>IF(77&lt;='DSCR Calculator'!$C$8*12,77,"")</f>
        <v>77</v>
      </c>
      <c r="C84" s="24">
        <f ca="1">IF($B84="","",EDATE(TODAY(),77))</f>
        <v>48605</v>
      </c>
      <c r="D84" s="18">
        <f t="shared" si="5"/>
        <v>241995.51348499415</v>
      </c>
      <c r="E84" s="18">
        <f>IF($B84="","",MIN('DSCR Calculator'!$C$23,D84+F84))</f>
        <v>1746.4190498453543</v>
      </c>
      <c r="F84" s="18">
        <f>IF($B84="","",D84*('DSCR Calculator'!$C$7/12))</f>
        <v>1411.6404953291326</v>
      </c>
      <c r="G84" s="18">
        <f t="shared" si="3"/>
        <v>334.77855451622167</v>
      </c>
      <c r="H84" s="18">
        <f t="shared" si="4"/>
        <v>241660.73493047792</v>
      </c>
    </row>
    <row r="85" spans="2:8" x14ac:dyDescent="0.25">
      <c r="B85" s="23">
        <f>IF(78&lt;='DSCR Calculator'!$C$8*12,78,"")</f>
        <v>78</v>
      </c>
      <c r="C85" s="24">
        <f ca="1">IF($B85="","",EDATE(TODAY(),78))</f>
        <v>48636</v>
      </c>
      <c r="D85" s="18">
        <f t="shared" si="5"/>
        <v>241660.73493047792</v>
      </c>
      <c r="E85" s="18">
        <f>IF($B85="","",MIN('DSCR Calculator'!$C$23,D85+F85))</f>
        <v>1746.4190498453543</v>
      </c>
      <c r="F85" s="18">
        <f>IF($B85="","",D85*('DSCR Calculator'!$C$7/12))</f>
        <v>1409.687620427788</v>
      </c>
      <c r="G85" s="18">
        <f t="shared" si="3"/>
        <v>336.73142941756623</v>
      </c>
      <c r="H85" s="18">
        <f t="shared" si="4"/>
        <v>241324.00350106036</v>
      </c>
    </row>
    <row r="86" spans="2:8" x14ac:dyDescent="0.25">
      <c r="B86" s="23">
        <f>IF(79&lt;='DSCR Calculator'!$C$8*12,79,"")</f>
        <v>79</v>
      </c>
      <c r="C86" s="24">
        <f ca="1">IF($B86="","",EDATE(TODAY(),79))</f>
        <v>48664</v>
      </c>
      <c r="D86" s="18">
        <f t="shared" si="5"/>
        <v>241324.00350106036</v>
      </c>
      <c r="E86" s="18">
        <f>IF($B86="","",MIN('DSCR Calculator'!$C$23,D86+F86))</f>
        <v>1746.4190498453543</v>
      </c>
      <c r="F86" s="18">
        <f>IF($B86="","",D86*('DSCR Calculator'!$C$7/12))</f>
        <v>1407.7233537561856</v>
      </c>
      <c r="G86" s="18">
        <f t="shared" si="3"/>
        <v>338.69569608916868</v>
      </c>
      <c r="H86" s="18">
        <f t="shared" si="4"/>
        <v>240985.30780497121</v>
      </c>
    </row>
    <row r="87" spans="2:8" x14ac:dyDescent="0.25">
      <c r="B87" s="23">
        <f>IF(80&lt;='DSCR Calculator'!$C$8*12,80,"")</f>
        <v>80</v>
      </c>
      <c r="C87" s="24">
        <f ca="1">IF($B87="","",EDATE(TODAY(),80))</f>
        <v>48695</v>
      </c>
      <c r="D87" s="18">
        <f t="shared" si="5"/>
        <v>240985.30780497121</v>
      </c>
      <c r="E87" s="18">
        <f>IF($B87="","",MIN('DSCR Calculator'!$C$23,D87+F87))</f>
        <v>1746.4190498453543</v>
      </c>
      <c r="F87" s="18">
        <f>IF($B87="","",D87*('DSCR Calculator'!$C$7/12))</f>
        <v>1405.747628862332</v>
      </c>
      <c r="G87" s="18">
        <f t="shared" si="3"/>
        <v>340.67142098302224</v>
      </c>
      <c r="H87" s="18">
        <f t="shared" si="4"/>
        <v>240644.6363839882</v>
      </c>
    </row>
    <row r="88" spans="2:8" x14ac:dyDescent="0.25">
      <c r="B88" s="23">
        <f>IF(81&lt;='DSCR Calculator'!$C$8*12,81,"")</f>
        <v>81</v>
      </c>
      <c r="C88" s="24">
        <f ca="1">IF($B88="","",EDATE(TODAY(),81))</f>
        <v>48725</v>
      </c>
      <c r="D88" s="18">
        <f t="shared" si="5"/>
        <v>240644.6363839882</v>
      </c>
      <c r="E88" s="18">
        <f>IF($B88="","",MIN('DSCR Calculator'!$C$23,D88+F88))</f>
        <v>1746.4190498453543</v>
      </c>
      <c r="F88" s="18">
        <f>IF($B88="","",D88*('DSCR Calculator'!$C$7/12))</f>
        <v>1403.7603789065979</v>
      </c>
      <c r="G88" s="18">
        <f t="shared" si="3"/>
        <v>342.65867093875636</v>
      </c>
      <c r="H88" s="18">
        <f t="shared" si="4"/>
        <v>240301.97771304945</v>
      </c>
    </row>
    <row r="89" spans="2:8" x14ac:dyDescent="0.25">
      <c r="B89" s="23">
        <f>IF(82&lt;='DSCR Calculator'!$C$8*12,82,"")</f>
        <v>82</v>
      </c>
      <c r="C89" s="24">
        <f ca="1">IF($B89="","",EDATE(TODAY(),82))</f>
        <v>48756</v>
      </c>
      <c r="D89" s="18">
        <f t="shared" si="5"/>
        <v>240301.97771304945</v>
      </c>
      <c r="E89" s="18">
        <f>IF($B89="","",MIN('DSCR Calculator'!$C$23,D89+F89))</f>
        <v>1746.4190498453543</v>
      </c>
      <c r="F89" s="18">
        <f>IF($B89="","",D89*('DSCR Calculator'!$C$7/12))</f>
        <v>1401.7615366594553</v>
      </c>
      <c r="G89" s="18">
        <f t="shared" si="3"/>
        <v>344.65751318589901</v>
      </c>
      <c r="H89" s="18">
        <f t="shared" si="4"/>
        <v>239957.32019986355</v>
      </c>
    </row>
    <row r="90" spans="2:8" x14ac:dyDescent="0.25">
      <c r="B90" s="23">
        <f>IF(83&lt;='DSCR Calculator'!$C$8*12,83,"")</f>
        <v>83</v>
      </c>
      <c r="C90" s="24">
        <f ca="1">IF($B90="","",EDATE(TODAY(),83))</f>
        <v>48786</v>
      </c>
      <c r="D90" s="18">
        <f t="shared" si="5"/>
        <v>239957.32019986355</v>
      </c>
      <c r="E90" s="18">
        <f>IF($B90="","",MIN('DSCR Calculator'!$C$23,D90+F90))</f>
        <v>1746.4190498453543</v>
      </c>
      <c r="F90" s="18">
        <f>IF($B90="","",D90*('DSCR Calculator'!$C$7/12))</f>
        <v>1399.751034499204</v>
      </c>
      <c r="G90" s="18">
        <f t="shared" si="3"/>
        <v>346.66801534615024</v>
      </c>
      <c r="H90" s="18">
        <f t="shared" si="4"/>
        <v>239610.65218451738</v>
      </c>
    </row>
    <row r="91" spans="2:8" x14ac:dyDescent="0.25">
      <c r="B91" s="23">
        <f>IF(84&lt;='DSCR Calculator'!$C$8*12,84,"")</f>
        <v>84</v>
      </c>
      <c r="C91" s="24">
        <f ca="1">IF($B91="","",EDATE(TODAY(),84))</f>
        <v>48817</v>
      </c>
      <c r="D91" s="18">
        <f t="shared" si="5"/>
        <v>239610.65218451738</v>
      </c>
      <c r="E91" s="18">
        <f>IF($B91="","",MIN('DSCR Calculator'!$C$23,D91+F91))</f>
        <v>1746.4190498453543</v>
      </c>
      <c r="F91" s="18">
        <f>IF($B91="","",D91*('DSCR Calculator'!$C$7/12))</f>
        <v>1397.7288044096847</v>
      </c>
      <c r="G91" s="18">
        <f t="shared" si="3"/>
        <v>348.69024543566957</v>
      </c>
      <c r="H91" s="18">
        <f t="shared" si="4"/>
        <v>239261.96193908172</v>
      </c>
    </row>
    <row r="92" spans="2:8" x14ac:dyDescent="0.25">
      <c r="B92" s="23">
        <f>IF(85&lt;='DSCR Calculator'!$C$8*12,85,"")</f>
        <v>85</v>
      </c>
      <c r="C92" s="24">
        <f ca="1">IF($B92="","",EDATE(TODAY(),85))</f>
        <v>48848</v>
      </c>
      <c r="D92" s="18">
        <f t="shared" si="5"/>
        <v>239261.96193908172</v>
      </c>
      <c r="E92" s="18">
        <f>IF($B92="","",MIN('DSCR Calculator'!$C$23,D92+F92))</f>
        <v>1746.4190498453543</v>
      </c>
      <c r="F92" s="18">
        <f>IF($B92="","",D92*('DSCR Calculator'!$C$7/12))</f>
        <v>1395.6947779779769</v>
      </c>
      <c r="G92" s="18">
        <f t="shared" si="3"/>
        <v>350.72427186737741</v>
      </c>
      <c r="H92" s="18">
        <f t="shared" si="4"/>
        <v>238911.23766721436</v>
      </c>
    </row>
    <row r="93" spans="2:8" x14ac:dyDescent="0.25">
      <c r="B93" s="23">
        <f>IF(86&lt;='DSCR Calculator'!$C$8*12,86,"")</f>
        <v>86</v>
      </c>
      <c r="C93" s="24">
        <f ca="1">IF($B93="","",EDATE(TODAY(),86))</f>
        <v>48878</v>
      </c>
      <c r="D93" s="18">
        <f t="shared" si="5"/>
        <v>238911.23766721436</v>
      </c>
      <c r="E93" s="18">
        <f>IF($B93="","",MIN('DSCR Calculator'!$C$23,D93+F93))</f>
        <v>1746.4190498453543</v>
      </c>
      <c r="F93" s="18">
        <f>IF($B93="","",D93*('DSCR Calculator'!$C$7/12))</f>
        <v>1393.6488863920838</v>
      </c>
      <c r="G93" s="18">
        <f t="shared" si="3"/>
        <v>352.77016345327047</v>
      </c>
      <c r="H93" s="18">
        <f t="shared" si="4"/>
        <v>238558.46750376109</v>
      </c>
    </row>
    <row r="94" spans="2:8" x14ac:dyDescent="0.25">
      <c r="B94" s="23">
        <f>IF(87&lt;='DSCR Calculator'!$C$8*12,87,"")</f>
        <v>87</v>
      </c>
      <c r="C94" s="24">
        <f ca="1">IF($B94="","",EDATE(TODAY(),87))</f>
        <v>48909</v>
      </c>
      <c r="D94" s="18">
        <f t="shared" si="5"/>
        <v>238558.46750376109</v>
      </c>
      <c r="E94" s="18">
        <f>IF($B94="","",MIN('DSCR Calculator'!$C$23,D94+F94))</f>
        <v>1746.4190498453543</v>
      </c>
      <c r="F94" s="18">
        <f>IF($B94="","",D94*('DSCR Calculator'!$C$7/12))</f>
        <v>1391.5910604386063</v>
      </c>
      <c r="G94" s="18">
        <f t="shared" si="3"/>
        <v>354.82798940674797</v>
      </c>
      <c r="H94" s="18">
        <f t="shared" si="4"/>
        <v>238203.63951435435</v>
      </c>
    </row>
    <row r="95" spans="2:8" x14ac:dyDescent="0.25">
      <c r="B95" s="23">
        <f>IF(88&lt;='DSCR Calculator'!$C$8*12,88,"")</f>
        <v>88</v>
      </c>
      <c r="C95" s="24">
        <f ca="1">IF($B95="","",EDATE(TODAY(),88))</f>
        <v>48939</v>
      </c>
      <c r="D95" s="18">
        <f t="shared" si="5"/>
        <v>238203.63951435435</v>
      </c>
      <c r="E95" s="18">
        <f>IF($B95="","",MIN('DSCR Calculator'!$C$23,D95+F95))</f>
        <v>1746.4190498453543</v>
      </c>
      <c r="F95" s="18">
        <f>IF($B95="","",D95*('DSCR Calculator'!$C$7/12))</f>
        <v>1389.5212305004004</v>
      </c>
      <c r="G95" s="18">
        <f t="shared" si="3"/>
        <v>356.89781934495386</v>
      </c>
      <c r="H95" s="18">
        <f t="shared" si="4"/>
        <v>237846.7416950094</v>
      </c>
    </row>
    <row r="96" spans="2:8" x14ac:dyDescent="0.25">
      <c r="B96" s="23">
        <f>IF(89&lt;='DSCR Calculator'!$C$8*12,89,"")</f>
        <v>89</v>
      </c>
      <c r="C96" s="24">
        <f ca="1">IF($B96="","",EDATE(TODAY(),89))</f>
        <v>48970</v>
      </c>
      <c r="D96" s="18">
        <f t="shared" si="5"/>
        <v>237846.7416950094</v>
      </c>
      <c r="E96" s="18">
        <f>IF($B96="","",MIN('DSCR Calculator'!$C$23,D96+F96))</f>
        <v>1746.4190498453543</v>
      </c>
      <c r="F96" s="18">
        <f>IF($B96="","",D96*('DSCR Calculator'!$C$7/12))</f>
        <v>1387.4393265542217</v>
      </c>
      <c r="G96" s="18">
        <f t="shared" si="3"/>
        <v>358.97972329113259</v>
      </c>
      <c r="H96" s="18">
        <f t="shared" si="4"/>
        <v>237487.76197171828</v>
      </c>
    </row>
    <row r="97" spans="2:8" x14ac:dyDescent="0.25">
      <c r="B97" s="23">
        <f>IF(90&lt;='DSCR Calculator'!$C$8*12,90,"")</f>
        <v>90</v>
      </c>
      <c r="C97" s="24">
        <f ca="1">IF($B97="","",EDATE(TODAY(),90))</f>
        <v>49001</v>
      </c>
      <c r="D97" s="18">
        <f t="shared" si="5"/>
        <v>237487.76197171828</v>
      </c>
      <c r="E97" s="18">
        <f>IF($B97="","",MIN('DSCR Calculator'!$C$23,D97+F97))</f>
        <v>1746.4190498453543</v>
      </c>
      <c r="F97" s="18">
        <f>IF($B97="","",D97*('DSCR Calculator'!$C$7/12))</f>
        <v>1385.3452781683568</v>
      </c>
      <c r="G97" s="18">
        <f t="shared" si="3"/>
        <v>361.07377167699747</v>
      </c>
      <c r="H97" s="18">
        <f t="shared" si="4"/>
        <v>237126.68820004127</v>
      </c>
    </row>
    <row r="98" spans="2:8" x14ac:dyDescent="0.25">
      <c r="B98" s="23">
        <f>IF(91&lt;='DSCR Calculator'!$C$8*12,91,"")</f>
        <v>91</v>
      </c>
      <c r="C98" s="24">
        <f ca="1">IF($B98="","",EDATE(TODAY(),91))</f>
        <v>49029</v>
      </c>
      <c r="D98" s="18">
        <f t="shared" si="5"/>
        <v>237126.68820004127</v>
      </c>
      <c r="E98" s="18">
        <f>IF($B98="","",MIN('DSCR Calculator'!$C$23,D98+F98))</f>
        <v>1746.4190498453543</v>
      </c>
      <c r="F98" s="18">
        <f>IF($B98="","",D98*('DSCR Calculator'!$C$7/12))</f>
        <v>1383.2390145002407</v>
      </c>
      <c r="G98" s="18">
        <f t="shared" si="3"/>
        <v>363.18003534511354</v>
      </c>
      <c r="H98" s="18">
        <f t="shared" si="4"/>
        <v>236763.50816469616</v>
      </c>
    </row>
    <row r="99" spans="2:8" x14ac:dyDescent="0.25">
      <c r="B99" s="23">
        <f>IF(92&lt;='DSCR Calculator'!$C$8*12,92,"")</f>
        <v>92</v>
      </c>
      <c r="C99" s="24">
        <f ca="1">IF($B99="","",EDATE(TODAY(),92))</f>
        <v>49060</v>
      </c>
      <c r="D99" s="18">
        <f t="shared" si="5"/>
        <v>236763.50816469616</v>
      </c>
      <c r="E99" s="18">
        <f>IF($B99="","",MIN('DSCR Calculator'!$C$23,D99+F99))</f>
        <v>1746.4190498453543</v>
      </c>
      <c r="F99" s="18">
        <f>IF($B99="","",D99*('DSCR Calculator'!$C$7/12))</f>
        <v>1381.1204642940611</v>
      </c>
      <c r="G99" s="18">
        <f t="shared" si="3"/>
        <v>365.29858555129317</v>
      </c>
      <c r="H99" s="18">
        <f t="shared" si="4"/>
        <v>236398.20957914487</v>
      </c>
    </row>
    <row r="100" spans="2:8" x14ac:dyDescent="0.25">
      <c r="B100" s="23">
        <f>IF(93&lt;='DSCR Calculator'!$C$8*12,93,"")</f>
        <v>93</v>
      </c>
      <c r="C100" s="24">
        <f ca="1">IF($B100="","",EDATE(TODAY(),93))</f>
        <v>49090</v>
      </c>
      <c r="D100" s="18">
        <f t="shared" si="5"/>
        <v>236398.20957914487</v>
      </c>
      <c r="E100" s="18">
        <f>IF($B100="","",MIN('DSCR Calculator'!$C$23,D100+F100))</f>
        <v>1746.4190498453543</v>
      </c>
      <c r="F100" s="18">
        <f>IF($B100="","",D100*('DSCR Calculator'!$C$7/12))</f>
        <v>1378.9895558783451</v>
      </c>
      <c r="G100" s="18">
        <f t="shared" si="3"/>
        <v>367.42949396700919</v>
      </c>
      <c r="H100" s="18">
        <f t="shared" si="4"/>
        <v>236030.78008517786</v>
      </c>
    </row>
    <row r="101" spans="2:8" x14ac:dyDescent="0.25">
      <c r="B101" s="23">
        <f>IF(94&lt;='DSCR Calculator'!$C$8*12,94,"")</f>
        <v>94</v>
      </c>
      <c r="C101" s="24">
        <f ca="1">IF($B101="","",EDATE(TODAY(),94))</f>
        <v>49121</v>
      </c>
      <c r="D101" s="18">
        <f t="shared" si="5"/>
        <v>236030.78008517786</v>
      </c>
      <c r="E101" s="18">
        <f>IF($B101="","",MIN('DSCR Calculator'!$C$23,D101+F101))</f>
        <v>1746.4190498453543</v>
      </c>
      <c r="F101" s="18">
        <f>IF($B101="","",D101*('DSCR Calculator'!$C$7/12))</f>
        <v>1376.8462171635376</v>
      </c>
      <c r="G101" s="18">
        <f t="shared" si="3"/>
        <v>369.57283268181664</v>
      </c>
      <c r="H101" s="18">
        <f t="shared" si="4"/>
        <v>235661.20725249604</v>
      </c>
    </row>
    <row r="102" spans="2:8" x14ac:dyDescent="0.25">
      <c r="B102" s="23">
        <f>IF(95&lt;='DSCR Calculator'!$C$8*12,95,"")</f>
        <v>95</v>
      </c>
      <c r="C102" s="24">
        <f ca="1">IF($B102="","",EDATE(TODAY(),95))</f>
        <v>49151</v>
      </c>
      <c r="D102" s="18">
        <f t="shared" si="5"/>
        <v>235661.20725249604</v>
      </c>
      <c r="E102" s="18">
        <f>IF($B102="","",MIN('DSCR Calculator'!$C$23,D102+F102))</f>
        <v>1746.4190498453543</v>
      </c>
      <c r="F102" s="18">
        <f>IF($B102="","",D102*('DSCR Calculator'!$C$7/12))</f>
        <v>1374.6903756395602</v>
      </c>
      <c r="G102" s="18">
        <f t="shared" si="3"/>
        <v>371.72867420579405</v>
      </c>
      <c r="H102" s="18">
        <f t="shared" si="4"/>
        <v>235289.47857829023</v>
      </c>
    </row>
    <row r="103" spans="2:8" x14ac:dyDescent="0.25">
      <c r="B103" s="23">
        <f>IF(96&lt;='DSCR Calculator'!$C$8*12,96,"")</f>
        <v>96</v>
      </c>
      <c r="C103" s="24">
        <f ca="1">IF($B103="","",EDATE(TODAY(),96))</f>
        <v>49182</v>
      </c>
      <c r="D103" s="18">
        <f t="shared" si="5"/>
        <v>235289.47857829023</v>
      </c>
      <c r="E103" s="18">
        <f>IF($B103="","",MIN('DSCR Calculator'!$C$23,D103+F103))</f>
        <v>1746.4190498453543</v>
      </c>
      <c r="F103" s="18">
        <f>IF($B103="","",D103*('DSCR Calculator'!$C$7/12))</f>
        <v>1372.5219583733597</v>
      </c>
      <c r="G103" s="18">
        <f t="shared" si="3"/>
        <v>373.8970914719946</v>
      </c>
      <c r="H103" s="18">
        <f t="shared" si="4"/>
        <v>234915.58148681824</v>
      </c>
    </row>
    <row r="104" spans="2:8" x14ac:dyDescent="0.25">
      <c r="B104" s="23">
        <f>IF(97&lt;='DSCR Calculator'!$C$8*12,97,"")</f>
        <v>97</v>
      </c>
      <c r="C104" s="24">
        <f ca="1">IF($B104="","",EDATE(TODAY(),97))</f>
        <v>49213</v>
      </c>
      <c r="D104" s="18">
        <f t="shared" si="5"/>
        <v>234915.58148681824</v>
      </c>
      <c r="E104" s="18">
        <f>IF($B104="","",MIN('DSCR Calculator'!$C$23,D104+F104))</f>
        <v>1746.4190498453543</v>
      </c>
      <c r="F104" s="18">
        <f>IF($B104="","",D104*('DSCR Calculator'!$C$7/12))</f>
        <v>1370.3408920064398</v>
      </c>
      <c r="G104" s="18">
        <f t="shared" si="3"/>
        <v>376.07815783891442</v>
      </c>
      <c r="H104" s="18">
        <f t="shared" si="4"/>
        <v>234539.50332897931</v>
      </c>
    </row>
    <row r="105" spans="2:8" x14ac:dyDescent="0.25">
      <c r="B105" s="23">
        <f>IF(98&lt;='DSCR Calculator'!$C$8*12,98,"")</f>
        <v>98</v>
      </c>
      <c r="C105" s="24">
        <f ca="1">IF($B105="","",EDATE(TODAY(),98))</f>
        <v>49243</v>
      </c>
      <c r="D105" s="18">
        <f t="shared" si="5"/>
        <v>234539.50332897931</v>
      </c>
      <c r="E105" s="18">
        <f>IF($B105="","",MIN('DSCR Calculator'!$C$23,D105+F105))</f>
        <v>1746.4190498453543</v>
      </c>
      <c r="F105" s="18">
        <f>IF($B105="","",D105*('DSCR Calculator'!$C$7/12))</f>
        <v>1368.1471027523794</v>
      </c>
      <c r="G105" s="18">
        <f t="shared" si="3"/>
        <v>378.27194709297487</v>
      </c>
      <c r="H105" s="18">
        <f t="shared" si="4"/>
        <v>234161.23138188632</v>
      </c>
    </row>
    <row r="106" spans="2:8" x14ac:dyDescent="0.25">
      <c r="B106" s="23">
        <f>IF(99&lt;='DSCR Calculator'!$C$8*12,99,"")</f>
        <v>99</v>
      </c>
      <c r="C106" s="24">
        <f ca="1">IF($B106="","",EDATE(TODAY(),99))</f>
        <v>49274</v>
      </c>
      <c r="D106" s="18">
        <f t="shared" si="5"/>
        <v>234161.23138188632</v>
      </c>
      <c r="E106" s="18">
        <f>IF($B106="","",MIN('DSCR Calculator'!$C$23,D106+F106))</f>
        <v>1746.4190498453543</v>
      </c>
      <c r="F106" s="18">
        <f>IF($B106="","",D106*('DSCR Calculator'!$C$7/12))</f>
        <v>1365.940516394337</v>
      </c>
      <c r="G106" s="18">
        <f t="shared" si="3"/>
        <v>380.47853345101726</v>
      </c>
      <c r="H106" s="18">
        <f t="shared" si="4"/>
        <v>233780.75284843531</v>
      </c>
    </row>
    <row r="107" spans="2:8" x14ac:dyDescent="0.25">
      <c r="B107" s="23">
        <f>IF(100&lt;='DSCR Calculator'!$C$8*12,100,"")</f>
        <v>100</v>
      </c>
      <c r="C107" s="24">
        <f ca="1">IF($B107="","",EDATE(TODAY(),100))</f>
        <v>49304</v>
      </c>
      <c r="D107" s="18">
        <f t="shared" si="5"/>
        <v>233780.75284843531</v>
      </c>
      <c r="E107" s="18">
        <f>IF($B107="","",MIN('DSCR Calculator'!$C$23,D107+F107))</f>
        <v>1746.4190498453543</v>
      </c>
      <c r="F107" s="18">
        <f>IF($B107="","",D107*('DSCR Calculator'!$C$7/12))</f>
        <v>1363.7210582825394</v>
      </c>
      <c r="G107" s="18">
        <f t="shared" si="3"/>
        <v>382.69799156281488</v>
      </c>
      <c r="H107" s="18">
        <f t="shared" si="4"/>
        <v>233398.05485687251</v>
      </c>
    </row>
    <row r="108" spans="2:8" x14ac:dyDescent="0.25">
      <c r="B108" s="23">
        <f>IF(101&lt;='DSCR Calculator'!$C$8*12,101,"")</f>
        <v>101</v>
      </c>
      <c r="C108" s="24">
        <f ca="1">IF($B108="","",EDATE(TODAY(),101))</f>
        <v>49335</v>
      </c>
      <c r="D108" s="18">
        <f t="shared" si="5"/>
        <v>233398.05485687251</v>
      </c>
      <c r="E108" s="18">
        <f>IF($B108="","",MIN('DSCR Calculator'!$C$23,D108+F108))</f>
        <v>1746.4190498453543</v>
      </c>
      <c r="F108" s="18">
        <f>IF($B108="","",D108*('DSCR Calculator'!$C$7/12))</f>
        <v>1361.4886533317563</v>
      </c>
      <c r="G108" s="18">
        <f t="shared" si="3"/>
        <v>384.930396513598</v>
      </c>
      <c r="H108" s="18">
        <f t="shared" si="4"/>
        <v>233013.1244603589</v>
      </c>
    </row>
    <row r="109" spans="2:8" x14ac:dyDescent="0.25">
      <c r="B109" s="23">
        <f>IF(102&lt;='DSCR Calculator'!$C$8*12,102,"")</f>
        <v>102</v>
      </c>
      <c r="C109" s="24">
        <f ca="1">IF($B109="","",EDATE(TODAY(),102))</f>
        <v>49366</v>
      </c>
      <c r="D109" s="18">
        <f t="shared" si="5"/>
        <v>233013.1244603589</v>
      </c>
      <c r="E109" s="18">
        <f>IF($B109="","",MIN('DSCR Calculator'!$C$23,D109+F109))</f>
        <v>1746.4190498453543</v>
      </c>
      <c r="F109" s="18">
        <f>IF($B109="","",D109*('DSCR Calculator'!$C$7/12))</f>
        <v>1359.2432260187604</v>
      </c>
      <c r="G109" s="18">
        <f t="shared" si="3"/>
        <v>387.17582382659384</v>
      </c>
      <c r="H109" s="18">
        <f t="shared" si="4"/>
        <v>232625.9486365323</v>
      </c>
    </row>
    <row r="110" spans="2:8" x14ac:dyDescent="0.25">
      <c r="B110" s="23">
        <f>IF(103&lt;='DSCR Calculator'!$C$8*12,103,"")</f>
        <v>103</v>
      </c>
      <c r="C110" s="24">
        <f ca="1">IF($B110="","",EDATE(TODAY(),103))</f>
        <v>49394</v>
      </c>
      <c r="D110" s="18">
        <f t="shared" si="5"/>
        <v>232625.9486365323</v>
      </c>
      <c r="E110" s="18">
        <f>IF($B110="","",MIN('DSCR Calculator'!$C$23,D110+F110))</f>
        <v>1746.4190498453543</v>
      </c>
      <c r="F110" s="18">
        <f>IF($B110="","",D110*('DSCR Calculator'!$C$7/12))</f>
        <v>1356.9847003797718</v>
      </c>
      <c r="G110" s="18">
        <f t="shared" si="3"/>
        <v>389.4343494655825</v>
      </c>
      <c r="H110" s="18">
        <f t="shared" si="4"/>
        <v>232236.5142870667</v>
      </c>
    </row>
    <row r="111" spans="2:8" x14ac:dyDescent="0.25">
      <c r="B111" s="23">
        <f>IF(104&lt;='DSCR Calculator'!$C$8*12,104,"")</f>
        <v>104</v>
      </c>
      <c r="C111" s="24">
        <f ca="1">IF($B111="","",EDATE(TODAY(),104))</f>
        <v>49425</v>
      </c>
      <c r="D111" s="18">
        <f t="shared" si="5"/>
        <v>232236.5142870667</v>
      </c>
      <c r="E111" s="18">
        <f>IF($B111="","",MIN('DSCR Calculator'!$C$23,D111+F111))</f>
        <v>1746.4190498453543</v>
      </c>
      <c r="F111" s="18">
        <f>IF($B111="","",D111*('DSCR Calculator'!$C$7/12))</f>
        <v>1354.7130000078891</v>
      </c>
      <c r="G111" s="18">
        <f t="shared" si="3"/>
        <v>391.70604983746512</v>
      </c>
      <c r="H111" s="18">
        <f t="shared" si="4"/>
        <v>231844.80823722924</v>
      </c>
    </row>
    <row r="112" spans="2:8" x14ac:dyDescent="0.25">
      <c r="B112" s="23">
        <f>IF(105&lt;='DSCR Calculator'!$C$8*12,105,"")</f>
        <v>105</v>
      </c>
      <c r="C112" s="24">
        <f ca="1">IF($B112="","",EDATE(TODAY(),105))</f>
        <v>49455</v>
      </c>
      <c r="D112" s="18">
        <f t="shared" si="5"/>
        <v>231844.80823722924</v>
      </c>
      <c r="E112" s="18">
        <f>IF($B112="","",MIN('DSCR Calculator'!$C$23,D112+F112))</f>
        <v>1746.4190498453543</v>
      </c>
      <c r="F112" s="18">
        <f>IF($B112="","",D112*('DSCR Calculator'!$C$7/12))</f>
        <v>1352.428048050504</v>
      </c>
      <c r="G112" s="18">
        <f t="shared" si="3"/>
        <v>393.99100179485026</v>
      </c>
      <c r="H112" s="18">
        <f t="shared" si="4"/>
        <v>231450.8172354344</v>
      </c>
    </row>
    <row r="113" spans="2:8" x14ac:dyDescent="0.25">
      <c r="B113" s="23">
        <f>IF(106&lt;='DSCR Calculator'!$C$8*12,106,"")</f>
        <v>106</v>
      </c>
      <c r="C113" s="24">
        <f ca="1">IF($B113="","",EDATE(TODAY(),106))</f>
        <v>49486</v>
      </c>
      <c r="D113" s="18">
        <f t="shared" si="5"/>
        <v>231450.8172354344</v>
      </c>
      <c r="E113" s="18">
        <f>IF($B113="","",MIN('DSCR Calculator'!$C$23,D113+F113))</f>
        <v>1746.4190498453543</v>
      </c>
      <c r="F113" s="18">
        <f>IF($B113="","",D113*('DSCR Calculator'!$C$7/12))</f>
        <v>1350.1297672067008</v>
      </c>
      <c r="G113" s="18">
        <f t="shared" si="3"/>
        <v>396.2892826386535</v>
      </c>
      <c r="H113" s="18">
        <f t="shared" si="4"/>
        <v>231054.52795279573</v>
      </c>
    </row>
    <row r="114" spans="2:8" x14ac:dyDescent="0.25">
      <c r="B114" s="23">
        <f>IF(107&lt;='DSCR Calculator'!$C$8*12,107,"")</f>
        <v>107</v>
      </c>
      <c r="C114" s="24">
        <f ca="1">IF($B114="","",EDATE(TODAY(),107))</f>
        <v>49516</v>
      </c>
      <c r="D114" s="18">
        <f t="shared" si="5"/>
        <v>231054.52795279573</v>
      </c>
      <c r="E114" s="18">
        <f>IF($B114="","",MIN('DSCR Calculator'!$C$23,D114+F114))</f>
        <v>1746.4190498453543</v>
      </c>
      <c r="F114" s="18">
        <f>IF($B114="","",D114*('DSCR Calculator'!$C$7/12))</f>
        <v>1347.8180797246418</v>
      </c>
      <c r="G114" s="18">
        <f t="shared" si="3"/>
        <v>398.60097012071242</v>
      </c>
      <c r="H114" s="18">
        <f t="shared" si="4"/>
        <v>230655.92698267501</v>
      </c>
    </row>
    <row r="115" spans="2:8" x14ac:dyDescent="0.25">
      <c r="B115" s="23">
        <f>IF(108&lt;='DSCR Calculator'!$C$8*12,108,"")</f>
        <v>108</v>
      </c>
      <c r="C115" s="24">
        <f ca="1">IF($B115="","",EDATE(TODAY(),108))</f>
        <v>49547</v>
      </c>
      <c r="D115" s="18">
        <f t="shared" si="5"/>
        <v>230655.92698267501</v>
      </c>
      <c r="E115" s="18">
        <f>IF($B115="","",MIN('DSCR Calculator'!$C$23,D115+F115))</f>
        <v>1746.4190498453543</v>
      </c>
      <c r="F115" s="18">
        <f>IF($B115="","",D115*('DSCR Calculator'!$C$7/12))</f>
        <v>1345.4929073989376</v>
      </c>
      <c r="G115" s="18">
        <f t="shared" si="3"/>
        <v>400.92614244641663</v>
      </c>
      <c r="H115" s="18">
        <f t="shared" si="4"/>
        <v>230255.0008402286</v>
      </c>
    </row>
    <row r="116" spans="2:8" x14ac:dyDescent="0.25">
      <c r="B116" s="23">
        <f>IF(109&lt;='DSCR Calculator'!$C$8*12,109,"")</f>
        <v>109</v>
      </c>
      <c r="C116" s="24">
        <f ca="1">IF($B116="","",EDATE(TODAY(),109))</f>
        <v>49578</v>
      </c>
      <c r="D116" s="18">
        <f t="shared" si="5"/>
        <v>230255.0008402286</v>
      </c>
      <c r="E116" s="18">
        <f>IF($B116="","",MIN('DSCR Calculator'!$C$23,D116+F116))</f>
        <v>1746.4190498453543</v>
      </c>
      <c r="F116" s="18">
        <f>IF($B116="","",D116*('DSCR Calculator'!$C$7/12))</f>
        <v>1343.1541715680003</v>
      </c>
      <c r="G116" s="18">
        <f t="shared" si="3"/>
        <v>403.264878277354</v>
      </c>
      <c r="H116" s="18">
        <f t="shared" si="4"/>
        <v>229851.73596195126</v>
      </c>
    </row>
    <row r="117" spans="2:8" x14ac:dyDescent="0.25">
      <c r="B117" s="23">
        <f>IF(110&lt;='DSCR Calculator'!$C$8*12,110,"")</f>
        <v>110</v>
      </c>
      <c r="C117" s="24">
        <f ca="1">IF($B117="","",EDATE(TODAY(),110))</f>
        <v>49608</v>
      </c>
      <c r="D117" s="18">
        <f t="shared" si="5"/>
        <v>229851.73596195126</v>
      </c>
      <c r="E117" s="18">
        <f>IF($B117="","",MIN('DSCR Calculator'!$C$23,D117+F117))</f>
        <v>1746.4190498453543</v>
      </c>
      <c r="F117" s="18">
        <f>IF($B117="","",D117*('DSCR Calculator'!$C$7/12))</f>
        <v>1340.8017931113825</v>
      </c>
      <c r="G117" s="18">
        <f t="shared" si="3"/>
        <v>405.61725673397177</v>
      </c>
      <c r="H117" s="18">
        <f t="shared" si="4"/>
        <v>229446.11870521729</v>
      </c>
    </row>
    <row r="118" spans="2:8" x14ac:dyDescent="0.25">
      <c r="B118" s="23">
        <f>IF(111&lt;='DSCR Calculator'!$C$8*12,111,"")</f>
        <v>111</v>
      </c>
      <c r="C118" s="24">
        <f ca="1">IF($B118="","",EDATE(TODAY(),111))</f>
        <v>49639</v>
      </c>
      <c r="D118" s="18">
        <f t="shared" si="5"/>
        <v>229446.11870521729</v>
      </c>
      <c r="E118" s="18">
        <f>IF($B118="","",MIN('DSCR Calculator'!$C$23,D118+F118))</f>
        <v>1746.4190498453543</v>
      </c>
      <c r="F118" s="18">
        <f>IF($B118="","",D118*('DSCR Calculator'!$C$7/12))</f>
        <v>1338.435692447101</v>
      </c>
      <c r="G118" s="18">
        <f t="shared" si="3"/>
        <v>407.98335739825325</v>
      </c>
      <c r="H118" s="18">
        <f t="shared" si="4"/>
        <v>229038.13534781904</v>
      </c>
    </row>
    <row r="119" spans="2:8" x14ac:dyDescent="0.25">
      <c r="B119" s="23">
        <f>IF(112&lt;='DSCR Calculator'!$C$8*12,112,"")</f>
        <v>112</v>
      </c>
      <c r="C119" s="24">
        <f ca="1">IF($B119="","",EDATE(TODAY(),112))</f>
        <v>49669</v>
      </c>
      <c r="D119" s="18">
        <f t="shared" si="5"/>
        <v>229038.13534781904</v>
      </c>
      <c r="E119" s="18">
        <f>IF($B119="","",MIN('DSCR Calculator'!$C$23,D119+F119))</f>
        <v>1746.4190498453543</v>
      </c>
      <c r="F119" s="18">
        <f>IF($B119="","",D119*('DSCR Calculator'!$C$7/12))</f>
        <v>1336.0557895289444</v>
      </c>
      <c r="G119" s="18">
        <f t="shared" si="3"/>
        <v>410.36326031640988</v>
      </c>
      <c r="H119" s="18">
        <f t="shared" si="4"/>
        <v>228627.77208750264</v>
      </c>
    </row>
    <row r="120" spans="2:8" x14ac:dyDescent="0.25">
      <c r="B120" s="23">
        <f>IF(113&lt;='DSCR Calculator'!$C$8*12,113,"")</f>
        <v>113</v>
      </c>
      <c r="C120" s="24">
        <f ca="1">IF($B120="","",EDATE(TODAY(),113))</f>
        <v>49700</v>
      </c>
      <c r="D120" s="18">
        <f t="shared" si="5"/>
        <v>228627.77208750264</v>
      </c>
      <c r="E120" s="18">
        <f>IF($B120="","",MIN('DSCR Calculator'!$C$23,D120+F120))</f>
        <v>1746.4190498453543</v>
      </c>
      <c r="F120" s="18">
        <f>IF($B120="","",D120*('DSCR Calculator'!$C$7/12))</f>
        <v>1333.6620038437654</v>
      </c>
      <c r="G120" s="18">
        <f t="shared" si="3"/>
        <v>412.75704600158883</v>
      </c>
      <c r="H120" s="18">
        <f t="shared" si="4"/>
        <v>228215.01504150106</v>
      </c>
    </row>
    <row r="121" spans="2:8" x14ac:dyDescent="0.25">
      <c r="B121" s="23">
        <f>IF(114&lt;='DSCR Calculator'!$C$8*12,114,"")</f>
        <v>114</v>
      </c>
      <c r="C121" s="24">
        <f ca="1">IF($B121="","",EDATE(TODAY(),114))</f>
        <v>49731</v>
      </c>
      <c r="D121" s="18">
        <f t="shared" si="5"/>
        <v>228215.01504150106</v>
      </c>
      <c r="E121" s="18">
        <f>IF($B121="","",MIN('DSCR Calculator'!$C$23,D121+F121))</f>
        <v>1746.4190498453543</v>
      </c>
      <c r="F121" s="18">
        <f>IF($B121="","",D121*('DSCR Calculator'!$C$7/12))</f>
        <v>1331.2542544087562</v>
      </c>
      <c r="G121" s="18">
        <f t="shared" si="3"/>
        <v>415.16479543659807</v>
      </c>
      <c r="H121" s="18">
        <f t="shared" si="4"/>
        <v>227799.85024606445</v>
      </c>
    </row>
    <row r="122" spans="2:8" x14ac:dyDescent="0.25">
      <c r="B122" s="23">
        <f>IF(115&lt;='DSCR Calculator'!$C$8*12,115,"")</f>
        <v>115</v>
      </c>
      <c r="C122" s="24">
        <f ca="1">IF($B122="","",EDATE(TODAY(),115))</f>
        <v>49760</v>
      </c>
      <c r="D122" s="18">
        <f t="shared" si="5"/>
        <v>227799.85024606445</v>
      </c>
      <c r="E122" s="18">
        <f>IF($B122="","",MIN('DSCR Calculator'!$C$23,D122+F122))</f>
        <v>1746.4190498453543</v>
      </c>
      <c r="F122" s="18">
        <f>IF($B122="","",D122*('DSCR Calculator'!$C$7/12))</f>
        <v>1328.8324597687094</v>
      </c>
      <c r="G122" s="18">
        <f t="shared" si="3"/>
        <v>417.58659007664482</v>
      </c>
      <c r="H122" s="18">
        <f t="shared" si="4"/>
        <v>227382.2636559878</v>
      </c>
    </row>
    <row r="123" spans="2:8" x14ac:dyDescent="0.25">
      <c r="B123" s="23">
        <f>IF(116&lt;='DSCR Calculator'!$C$8*12,116,"")</f>
        <v>116</v>
      </c>
      <c r="C123" s="24">
        <f ca="1">IF($B123="","",EDATE(TODAY(),116))</f>
        <v>49791</v>
      </c>
      <c r="D123" s="18">
        <f t="shared" si="5"/>
        <v>227382.2636559878</v>
      </c>
      <c r="E123" s="18">
        <f>IF($B123="","",MIN('DSCR Calculator'!$C$23,D123+F123))</f>
        <v>1746.4190498453543</v>
      </c>
      <c r="F123" s="18">
        <f>IF($B123="","",D123*('DSCR Calculator'!$C$7/12))</f>
        <v>1326.3965379932622</v>
      </c>
      <c r="G123" s="18">
        <f t="shared" si="3"/>
        <v>420.02251185209207</v>
      </c>
      <c r="H123" s="18">
        <f t="shared" si="4"/>
        <v>226962.24114413571</v>
      </c>
    </row>
    <row r="124" spans="2:8" x14ac:dyDescent="0.25">
      <c r="B124" s="23">
        <f>IF(117&lt;='DSCR Calculator'!$C$8*12,117,"")</f>
        <v>117</v>
      </c>
      <c r="C124" s="24">
        <f ca="1">IF($B124="","",EDATE(TODAY(),117))</f>
        <v>49821</v>
      </c>
      <c r="D124" s="18">
        <f t="shared" si="5"/>
        <v>226962.24114413571</v>
      </c>
      <c r="E124" s="18">
        <f>IF($B124="","",MIN('DSCR Calculator'!$C$23,D124+F124))</f>
        <v>1746.4190498453543</v>
      </c>
      <c r="F124" s="18">
        <f>IF($B124="","",D124*('DSCR Calculator'!$C$7/12))</f>
        <v>1323.946406674125</v>
      </c>
      <c r="G124" s="18">
        <f t="shared" si="3"/>
        <v>422.47264317122927</v>
      </c>
      <c r="H124" s="18">
        <f t="shared" si="4"/>
        <v>226539.76850096448</v>
      </c>
    </row>
    <row r="125" spans="2:8" x14ac:dyDescent="0.25">
      <c r="B125" s="23">
        <f>IF(118&lt;='DSCR Calculator'!$C$8*12,118,"")</f>
        <v>118</v>
      </c>
      <c r="C125" s="24">
        <f ca="1">IF($B125="","",EDATE(TODAY(),118))</f>
        <v>49852</v>
      </c>
      <c r="D125" s="18">
        <f t="shared" si="5"/>
        <v>226539.76850096448</v>
      </c>
      <c r="E125" s="18">
        <f>IF($B125="","",MIN('DSCR Calculator'!$C$23,D125+F125))</f>
        <v>1746.4190498453543</v>
      </c>
      <c r="F125" s="18">
        <f>IF($B125="","",D125*('DSCR Calculator'!$C$7/12))</f>
        <v>1321.4819829222929</v>
      </c>
      <c r="G125" s="18">
        <f t="shared" si="3"/>
        <v>424.93706692306137</v>
      </c>
      <c r="H125" s="18">
        <f t="shared" si="4"/>
        <v>226114.83143404141</v>
      </c>
    </row>
    <row r="126" spans="2:8" x14ac:dyDescent="0.25">
      <c r="B126" s="23">
        <f>IF(119&lt;='DSCR Calculator'!$C$8*12,119,"")</f>
        <v>119</v>
      </c>
      <c r="C126" s="24">
        <f ca="1">IF($B126="","",EDATE(TODAY(),119))</f>
        <v>49882</v>
      </c>
      <c r="D126" s="18">
        <f t="shared" si="5"/>
        <v>226114.83143404141</v>
      </c>
      <c r="E126" s="18">
        <f>IF($B126="","",MIN('DSCR Calculator'!$C$23,D126+F126))</f>
        <v>1746.4190498453543</v>
      </c>
      <c r="F126" s="18">
        <f>IF($B126="","",D126*('DSCR Calculator'!$C$7/12))</f>
        <v>1319.0031833652415</v>
      </c>
      <c r="G126" s="18">
        <f t="shared" si="3"/>
        <v>427.41586648011275</v>
      </c>
      <c r="H126" s="18">
        <f t="shared" si="4"/>
        <v>225687.41556756129</v>
      </c>
    </row>
    <row r="127" spans="2:8" x14ac:dyDescent="0.25">
      <c r="B127" s="23">
        <f>IF(120&lt;='DSCR Calculator'!$C$8*12,120,"")</f>
        <v>120</v>
      </c>
      <c r="C127" s="24">
        <f ca="1">IF($B127="","",EDATE(TODAY(),120))</f>
        <v>49913</v>
      </c>
      <c r="D127" s="18">
        <f t="shared" si="5"/>
        <v>225687.41556756129</v>
      </c>
      <c r="E127" s="18">
        <f>IF($B127="","",MIN('DSCR Calculator'!$C$23,D127+F127))</f>
        <v>1746.4190498453543</v>
      </c>
      <c r="F127" s="18">
        <f>IF($B127="","",D127*('DSCR Calculator'!$C$7/12))</f>
        <v>1316.5099241441076</v>
      </c>
      <c r="G127" s="18">
        <f t="shared" si="3"/>
        <v>429.90912570124669</v>
      </c>
      <c r="H127" s="18">
        <f t="shared" si="4"/>
        <v>225257.50644186005</v>
      </c>
    </row>
    <row r="128" spans="2:8" x14ac:dyDescent="0.25">
      <c r="B128" s="23">
        <f>IF(121&lt;='DSCR Calculator'!$C$8*12,121,"")</f>
        <v>121</v>
      </c>
      <c r="C128" s="24">
        <f ca="1">IF($B128="","",EDATE(TODAY(),121))</f>
        <v>49944</v>
      </c>
      <c r="D128" s="18">
        <f t="shared" si="5"/>
        <v>225257.50644186005</v>
      </c>
      <c r="E128" s="18">
        <f>IF($B128="","",MIN('DSCR Calculator'!$C$23,D128+F128))</f>
        <v>1746.4190498453543</v>
      </c>
      <c r="F128" s="18">
        <f>IF($B128="","",D128*('DSCR Calculator'!$C$7/12))</f>
        <v>1314.0021209108504</v>
      </c>
      <c r="G128" s="18">
        <f t="shared" si="3"/>
        <v>432.41692893450386</v>
      </c>
      <c r="H128" s="18">
        <f t="shared" si="4"/>
        <v>224825.08951292554</v>
      </c>
    </row>
    <row r="129" spans="2:8" x14ac:dyDescent="0.25">
      <c r="B129" s="23">
        <f>IF(122&lt;='DSCR Calculator'!$C$8*12,122,"")</f>
        <v>122</v>
      </c>
      <c r="C129" s="24">
        <f ca="1">IF($B129="","",EDATE(TODAY(),122))</f>
        <v>49974</v>
      </c>
      <c r="D129" s="18">
        <f t="shared" si="5"/>
        <v>224825.08951292554</v>
      </c>
      <c r="E129" s="18">
        <f>IF($B129="","",MIN('DSCR Calculator'!$C$23,D129+F129))</f>
        <v>1746.4190498453543</v>
      </c>
      <c r="F129" s="18">
        <f>IF($B129="","",D129*('DSCR Calculator'!$C$7/12))</f>
        <v>1311.4796888253991</v>
      </c>
      <c r="G129" s="18">
        <f t="shared" si="3"/>
        <v>434.93936101995519</v>
      </c>
      <c r="H129" s="18">
        <f t="shared" si="4"/>
        <v>224390.15015190557</v>
      </c>
    </row>
    <row r="130" spans="2:8" x14ac:dyDescent="0.25">
      <c r="B130" s="23">
        <f>IF(123&lt;='DSCR Calculator'!$C$8*12,123,"")</f>
        <v>123</v>
      </c>
      <c r="C130" s="24">
        <f ca="1">IF($B130="","",EDATE(TODAY(),123))</f>
        <v>50005</v>
      </c>
      <c r="D130" s="18">
        <f t="shared" si="5"/>
        <v>224390.15015190557</v>
      </c>
      <c r="E130" s="18">
        <f>IF($B130="","",MIN('DSCR Calculator'!$C$23,D130+F130))</f>
        <v>1746.4190498453543</v>
      </c>
      <c r="F130" s="18">
        <f>IF($B130="","",D130*('DSCR Calculator'!$C$7/12))</f>
        <v>1308.9425425527825</v>
      </c>
      <c r="G130" s="18">
        <f t="shared" si="3"/>
        <v>437.4765072925718</v>
      </c>
      <c r="H130" s="18">
        <f t="shared" si="4"/>
        <v>223952.67364461301</v>
      </c>
    </row>
    <row r="131" spans="2:8" x14ac:dyDescent="0.25">
      <c r="B131" s="23">
        <f>IF(124&lt;='DSCR Calculator'!$C$8*12,124,"")</f>
        <v>124</v>
      </c>
      <c r="C131" s="24">
        <f ca="1">IF($B131="","",EDATE(TODAY(),124))</f>
        <v>50035</v>
      </c>
      <c r="D131" s="18">
        <f t="shared" si="5"/>
        <v>223952.67364461301</v>
      </c>
      <c r="E131" s="18">
        <f>IF($B131="","",MIN('DSCR Calculator'!$C$23,D131+F131))</f>
        <v>1746.4190498453543</v>
      </c>
      <c r="F131" s="18">
        <f>IF($B131="","",D131*('DSCR Calculator'!$C$7/12))</f>
        <v>1306.3905962602425</v>
      </c>
      <c r="G131" s="18">
        <f t="shared" si="3"/>
        <v>440.02845358511172</v>
      </c>
      <c r="H131" s="18">
        <f t="shared" si="4"/>
        <v>223512.6451910279</v>
      </c>
    </row>
    <row r="132" spans="2:8" x14ac:dyDescent="0.25">
      <c r="B132" s="23">
        <f>IF(125&lt;='DSCR Calculator'!$C$8*12,125,"")</f>
        <v>125</v>
      </c>
      <c r="C132" s="24">
        <f ca="1">IF($B132="","",EDATE(TODAY(),125))</f>
        <v>50066</v>
      </c>
      <c r="D132" s="18">
        <f t="shared" si="5"/>
        <v>223512.6451910279</v>
      </c>
      <c r="E132" s="18">
        <f>IF($B132="","",MIN('DSCR Calculator'!$C$23,D132+F132))</f>
        <v>1746.4190498453543</v>
      </c>
      <c r="F132" s="18">
        <f>IF($B132="","",D132*('DSCR Calculator'!$C$7/12))</f>
        <v>1303.8237636143294</v>
      </c>
      <c r="G132" s="18">
        <f t="shared" si="3"/>
        <v>442.59528623102483</v>
      </c>
      <c r="H132" s="18">
        <f t="shared" si="4"/>
        <v>223070.04990479688</v>
      </c>
    </row>
    <row r="133" spans="2:8" x14ac:dyDescent="0.25">
      <c r="B133" s="23">
        <f>IF(126&lt;='DSCR Calculator'!$C$8*12,126,"")</f>
        <v>126</v>
      </c>
      <c r="C133" s="24">
        <f ca="1">IF($B133="","",EDATE(TODAY(),126))</f>
        <v>50097</v>
      </c>
      <c r="D133" s="18">
        <f t="shared" si="5"/>
        <v>223070.04990479688</v>
      </c>
      <c r="E133" s="18">
        <f>IF($B133="","",MIN('DSCR Calculator'!$C$23,D133+F133))</f>
        <v>1746.4190498453543</v>
      </c>
      <c r="F133" s="18">
        <f>IF($B133="","",D133*('DSCR Calculator'!$C$7/12))</f>
        <v>1301.241957777982</v>
      </c>
      <c r="G133" s="18">
        <f t="shared" si="3"/>
        <v>445.17709206737231</v>
      </c>
      <c r="H133" s="18">
        <f t="shared" si="4"/>
        <v>222624.8728127295</v>
      </c>
    </row>
    <row r="134" spans="2:8" x14ac:dyDescent="0.25">
      <c r="B134" s="23">
        <f>IF(127&lt;='DSCR Calculator'!$C$8*12,127,"")</f>
        <v>127</v>
      </c>
      <c r="C134" s="24">
        <f ca="1">IF($B134="","",EDATE(TODAY(),127))</f>
        <v>50125</v>
      </c>
      <c r="D134" s="18">
        <f t="shared" si="5"/>
        <v>222624.8728127295</v>
      </c>
      <c r="E134" s="18">
        <f>IF($B134="","",MIN('DSCR Calculator'!$C$23,D134+F134))</f>
        <v>1746.4190498453543</v>
      </c>
      <c r="F134" s="18">
        <f>IF($B134="","",D134*('DSCR Calculator'!$C$7/12))</f>
        <v>1298.6450914075888</v>
      </c>
      <c r="G134" s="18">
        <f t="shared" si="3"/>
        <v>447.77395843776549</v>
      </c>
      <c r="H134" s="18">
        <f t="shared" si="4"/>
        <v>222177.09885429175</v>
      </c>
    </row>
    <row r="135" spans="2:8" x14ac:dyDescent="0.25">
      <c r="B135" s="23">
        <f>IF(128&lt;='DSCR Calculator'!$C$8*12,128,"")</f>
        <v>128</v>
      </c>
      <c r="C135" s="24">
        <f ca="1">IF($B135="","",EDATE(TODAY(),128))</f>
        <v>50156</v>
      </c>
      <c r="D135" s="18">
        <f t="shared" si="5"/>
        <v>222177.09885429175</v>
      </c>
      <c r="E135" s="18">
        <f>IF($B135="","",MIN('DSCR Calculator'!$C$23,D135+F135))</f>
        <v>1746.4190498453543</v>
      </c>
      <c r="F135" s="18">
        <f>IF($B135="","",D135*('DSCR Calculator'!$C$7/12))</f>
        <v>1296.0330766500354</v>
      </c>
      <c r="G135" s="18">
        <f t="shared" si="3"/>
        <v>450.38597319531891</v>
      </c>
      <c r="H135" s="18">
        <f t="shared" si="4"/>
        <v>221726.71288109644</v>
      </c>
    </row>
    <row r="136" spans="2:8" x14ac:dyDescent="0.25">
      <c r="B136" s="23">
        <f>IF(129&lt;='DSCR Calculator'!$C$8*12,129,"")</f>
        <v>129</v>
      </c>
      <c r="C136" s="24">
        <f ca="1">IF($B136="","",EDATE(TODAY(),129))</f>
        <v>50186</v>
      </c>
      <c r="D136" s="18">
        <f t="shared" si="5"/>
        <v>221726.71288109644</v>
      </c>
      <c r="E136" s="18">
        <f>IF($B136="","",MIN('DSCR Calculator'!$C$23,D136+F136))</f>
        <v>1746.4190498453543</v>
      </c>
      <c r="F136" s="18">
        <f>IF($B136="","",D136*('DSCR Calculator'!$C$7/12))</f>
        <v>1293.4058251397294</v>
      </c>
      <c r="G136" s="18">
        <f t="shared" ref="G136:G199" si="6">IF($B136="","",E136-F136)</f>
        <v>453.01322470562491</v>
      </c>
      <c r="H136" s="18">
        <f t="shared" ref="H136:H199" si="7">IF($B136="","",D136-G136)</f>
        <v>221273.69965639082</v>
      </c>
    </row>
    <row r="137" spans="2:8" x14ac:dyDescent="0.25">
      <c r="B137" s="23">
        <f>IF(130&lt;='DSCR Calculator'!$C$8*12,130,"")</f>
        <v>130</v>
      </c>
      <c r="C137" s="24">
        <f ca="1">IF($B137="","",EDATE(TODAY(),130))</f>
        <v>50217</v>
      </c>
      <c r="D137" s="18">
        <f t="shared" ref="D137:D200" si="8">IF($B137="","",H136)</f>
        <v>221273.69965639082</v>
      </c>
      <c r="E137" s="18">
        <f>IF($B137="","",MIN('DSCR Calculator'!$C$23,D137+F137))</f>
        <v>1746.4190498453543</v>
      </c>
      <c r="F137" s="18">
        <f>IF($B137="","",D137*('DSCR Calculator'!$C$7/12))</f>
        <v>1290.7632479956133</v>
      </c>
      <c r="G137" s="18">
        <f t="shared" si="6"/>
        <v>455.65580184974101</v>
      </c>
      <c r="H137" s="18">
        <f t="shared" si="7"/>
        <v>220818.04385454109</v>
      </c>
    </row>
    <row r="138" spans="2:8" x14ac:dyDescent="0.25">
      <c r="B138" s="23">
        <f>IF(131&lt;='DSCR Calculator'!$C$8*12,131,"")</f>
        <v>131</v>
      </c>
      <c r="C138" s="24">
        <f ca="1">IF($B138="","",EDATE(TODAY(),131))</f>
        <v>50247</v>
      </c>
      <c r="D138" s="18">
        <f t="shared" si="8"/>
        <v>220818.04385454109</v>
      </c>
      <c r="E138" s="18">
        <f>IF($B138="","",MIN('DSCR Calculator'!$C$23,D138+F138))</f>
        <v>1746.4190498453543</v>
      </c>
      <c r="F138" s="18">
        <f>IF($B138="","",D138*('DSCR Calculator'!$C$7/12))</f>
        <v>1288.1052558181564</v>
      </c>
      <c r="G138" s="18">
        <f t="shared" si="6"/>
        <v>458.3137940271979</v>
      </c>
      <c r="H138" s="18">
        <f t="shared" si="7"/>
        <v>220359.73006051389</v>
      </c>
    </row>
    <row r="139" spans="2:8" x14ac:dyDescent="0.25">
      <c r="B139" s="23">
        <f>IF(132&lt;='DSCR Calculator'!$C$8*12,132,"")</f>
        <v>132</v>
      </c>
      <c r="C139" s="24">
        <f ca="1">IF($B139="","",EDATE(TODAY(),132))</f>
        <v>50278</v>
      </c>
      <c r="D139" s="18">
        <f t="shared" si="8"/>
        <v>220359.73006051389</v>
      </c>
      <c r="E139" s="18">
        <f>IF($B139="","",MIN('DSCR Calculator'!$C$23,D139+F139))</f>
        <v>1746.4190498453543</v>
      </c>
      <c r="F139" s="18">
        <f>IF($B139="","",D139*('DSCR Calculator'!$C$7/12))</f>
        <v>1285.431758686331</v>
      </c>
      <c r="G139" s="18">
        <f t="shared" si="6"/>
        <v>460.98729115902324</v>
      </c>
      <c r="H139" s="18">
        <f t="shared" si="7"/>
        <v>219898.74276935487</v>
      </c>
    </row>
    <row r="140" spans="2:8" x14ac:dyDescent="0.25">
      <c r="B140" s="23">
        <f>IF(133&lt;='DSCR Calculator'!$C$8*12,133,"")</f>
        <v>133</v>
      </c>
      <c r="C140" s="24">
        <f ca="1">IF($B140="","",EDATE(TODAY(),133))</f>
        <v>50309</v>
      </c>
      <c r="D140" s="18">
        <f t="shared" si="8"/>
        <v>219898.74276935487</v>
      </c>
      <c r="E140" s="18">
        <f>IF($B140="","",MIN('DSCR Calculator'!$C$23,D140+F140))</f>
        <v>1746.4190498453543</v>
      </c>
      <c r="F140" s="18">
        <f>IF($B140="","",D140*('DSCR Calculator'!$C$7/12))</f>
        <v>1282.7426661545701</v>
      </c>
      <c r="G140" s="18">
        <f t="shared" si="6"/>
        <v>463.67638369078418</v>
      </c>
      <c r="H140" s="18">
        <f t="shared" si="7"/>
        <v>219435.06638566407</v>
      </c>
    </row>
    <row r="141" spans="2:8" x14ac:dyDescent="0.25">
      <c r="B141" s="23">
        <f>IF(134&lt;='DSCR Calculator'!$C$8*12,134,"")</f>
        <v>134</v>
      </c>
      <c r="C141" s="24">
        <f ca="1">IF($B141="","",EDATE(TODAY(),134))</f>
        <v>50339</v>
      </c>
      <c r="D141" s="18">
        <f t="shared" si="8"/>
        <v>219435.06638566407</v>
      </c>
      <c r="E141" s="18">
        <f>IF($B141="","",MIN('DSCR Calculator'!$C$23,D141+F141))</f>
        <v>1746.4190498453543</v>
      </c>
      <c r="F141" s="18">
        <f>IF($B141="","",D141*('DSCR Calculator'!$C$7/12))</f>
        <v>1280.0378872497072</v>
      </c>
      <c r="G141" s="18">
        <f t="shared" si="6"/>
        <v>466.38116259564708</v>
      </c>
      <c r="H141" s="18">
        <f t="shared" si="7"/>
        <v>218968.68522306843</v>
      </c>
    </row>
    <row r="142" spans="2:8" x14ac:dyDescent="0.25">
      <c r="B142" s="23">
        <f>IF(135&lt;='DSCR Calculator'!$C$8*12,135,"")</f>
        <v>135</v>
      </c>
      <c r="C142" s="24">
        <f ca="1">IF($B142="","",EDATE(TODAY(),135))</f>
        <v>50370</v>
      </c>
      <c r="D142" s="18">
        <f t="shared" si="8"/>
        <v>218968.68522306843</v>
      </c>
      <c r="E142" s="18">
        <f>IF($B142="","",MIN('DSCR Calculator'!$C$23,D142+F142))</f>
        <v>1746.4190498453543</v>
      </c>
      <c r="F142" s="18">
        <f>IF($B142="","",D142*('DSCR Calculator'!$C$7/12))</f>
        <v>1277.3173304678992</v>
      </c>
      <c r="G142" s="18">
        <f t="shared" si="6"/>
        <v>469.10171937745508</v>
      </c>
      <c r="H142" s="18">
        <f t="shared" si="7"/>
        <v>218499.58350369098</v>
      </c>
    </row>
    <row r="143" spans="2:8" x14ac:dyDescent="0.25">
      <c r="B143" s="23">
        <f>IF(136&lt;='DSCR Calculator'!$C$8*12,136,"")</f>
        <v>136</v>
      </c>
      <c r="C143" s="24">
        <f ca="1">IF($B143="","",EDATE(TODAY(),136))</f>
        <v>50400</v>
      </c>
      <c r="D143" s="18">
        <f t="shared" si="8"/>
        <v>218499.58350369098</v>
      </c>
      <c r="E143" s="18">
        <f>IF($B143="","",MIN('DSCR Calculator'!$C$23,D143+F143))</f>
        <v>1746.4190498453543</v>
      </c>
      <c r="F143" s="18">
        <f>IF($B143="","",D143*('DSCR Calculator'!$C$7/12))</f>
        <v>1274.5809037715308</v>
      </c>
      <c r="G143" s="18">
        <f t="shared" si="6"/>
        <v>471.83814607382351</v>
      </c>
      <c r="H143" s="18">
        <f t="shared" si="7"/>
        <v>218027.74535761715</v>
      </c>
    </row>
    <row r="144" spans="2:8" x14ac:dyDescent="0.25">
      <c r="B144" s="23">
        <f>IF(137&lt;='DSCR Calculator'!$C$8*12,137,"")</f>
        <v>137</v>
      </c>
      <c r="C144" s="24">
        <f ca="1">IF($B144="","",EDATE(TODAY(),137))</f>
        <v>50431</v>
      </c>
      <c r="D144" s="18">
        <f t="shared" si="8"/>
        <v>218027.74535761715</v>
      </c>
      <c r="E144" s="18">
        <f>IF($B144="","",MIN('DSCR Calculator'!$C$23,D144+F144))</f>
        <v>1746.4190498453543</v>
      </c>
      <c r="F144" s="18">
        <f>IF($B144="","",D144*('DSCR Calculator'!$C$7/12))</f>
        <v>1271.8285145861</v>
      </c>
      <c r="G144" s="18">
        <f t="shared" si="6"/>
        <v>474.59053525925424</v>
      </c>
      <c r="H144" s="18">
        <f t="shared" si="7"/>
        <v>217553.1548223579</v>
      </c>
    </row>
    <row r="145" spans="2:8" x14ac:dyDescent="0.25">
      <c r="B145" s="23">
        <f>IF(138&lt;='DSCR Calculator'!$C$8*12,138,"")</f>
        <v>138</v>
      </c>
      <c r="C145" s="24">
        <f ca="1">IF($B145="","",EDATE(TODAY(),138))</f>
        <v>50462</v>
      </c>
      <c r="D145" s="18">
        <f t="shared" si="8"/>
        <v>217553.1548223579</v>
      </c>
      <c r="E145" s="18">
        <f>IF($B145="","",MIN('DSCR Calculator'!$C$23,D145+F145))</f>
        <v>1746.4190498453543</v>
      </c>
      <c r="F145" s="18">
        <f>IF($B145="","",D145*('DSCR Calculator'!$C$7/12))</f>
        <v>1269.0600697970879</v>
      </c>
      <c r="G145" s="18">
        <f t="shared" si="6"/>
        <v>477.3589800482664</v>
      </c>
      <c r="H145" s="18">
        <f t="shared" si="7"/>
        <v>217075.79584230963</v>
      </c>
    </row>
    <row r="146" spans="2:8" x14ac:dyDescent="0.25">
      <c r="B146" s="23">
        <f>IF(139&lt;='DSCR Calculator'!$C$8*12,139,"")</f>
        <v>139</v>
      </c>
      <c r="C146" s="24">
        <f ca="1">IF($B146="","",EDATE(TODAY(),139))</f>
        <v>50490</v>
      </c>
      <c r="D146" s="18">
        <f t="shared" si="8"/>
        <v>217075.79584230963</v>
      </c>
      <c r="E146" s="18">
        <f>IF($B146="","",MIN('DSCR Calculator'!$C$23,D146+F146))</f>
        <v>1746.4190498453543</v>
      </c>
      <c r="F146" s="18">
        <f>IF($B146="","",D146*('DSCR Calculator'!$C$7/12))</f>
        <v>1266.2754757468063</v>
      </c>
      <c r="G146" s="18">
        <f t="shared" si="6"/>
        <v>480.14357409854802</v>
      </c>
      <c r="H146" s="18">
        <f t="shared" si="7"/>
        <v>216595.65226821107</v>
      </c>
    </row>
    <row r="147" spans="2:8" x14ac:dyDescent="0.25">
      <c r="B147" s="23">
        <f>IF(140&lt;='DSCR Calculator'!$C$8*12,140,"")</f>
        <v>140</v>
      </c>
      <c r="C147" s="24">
        <f ca="1">IF($B147="","",EDATE(TODAY(),140))</f>
        <v>50521</v>
      </c>
      <c r="D147" s="18">
        <f t="shared" si="8"/>
        <v>216595.65226821107</v>
      </c>
      <c r="E147" s="18">
        <f>IF($B147="","",MIN('DSCR Calculator'!$C$23,D147+F147))</f>
        <v>1746.4190498453543</v>
      </c>
      <c r="F147" s="18">
        <f>IF($B147="","",D147*('DSCR Calculator'!$C$7/12))</f>
        <v>1263.4746382312312</v>
      </c>
      <c r="G147" s="18">
        <f t="shared" si="6"/>
        <v>482.94441161412306</v>
      </c>
      <c r="H147" s="18">
        <f t="shared" si="7"/>
        <v>216112.70785659694</v>
      </c>
    </row>
    <row r="148" spans="2:8" x14ac:dyDescent="0.25">
      <c r="B148" s="23">
        <f>IF(141&lt;='DSCR Calculator'!$C$8*12,141,"")</f>
        <v>141</v>
      </c>
      <c r="C148" s="24">
        <f ca="1">IF($B148="","",EDATE(TODAY(),141))</f>
        <v>50551</v>
      </c>
      <c r="D148" s="18">
        <f t="shared" si="8"/>
        <v>216112.70785659694</v>
      </c>
      <c r="E148" s="18">
        <f>IF($B148="","",MIN('DSCR Calculator'!$C$23,D148+F148))</f>
        <v>1746.4190498453543</v>
      </c>
      <c r="F148" s="18">
        <f>IF($B148="","",D148*('DSCR Calculator'!$C$7/12))</f>
        <v>1260.6574624968155</v>
      </c>
      <c r="G148" s="18">
        <f t="shared" si="6"/>
        <v>485.7615873485388</v>
      </c>
      <c r="H148" s="18">
        <f t="shared" si="7"/>
        <v>215626.94626924841</v>
      </c>
    </row>
    <row r="149" spans="2:8" x14ac:dyDescent="0.25">
      <c r="B149" s="23">
        <f>IF(142&lt;='DSCR Calculator'!$C$8*12,142,"")</f>
        <v>142</v>
      </c>
      <c r="C149" s="24">
        <f ca="1">IF($B149="","",EDATE(TODAY(),142))</f>
        <v>50582</v>
      </c>
      <c r="D149" s="18">
        <f t="shared" si="8"/>
        <v>215626.94626924841</v>
      </c>
      <c r="E149" s="18">
        <f>IF($B149="","",MIN('DSCR Calculator'!$C$23,D149+F149))</f>
        <v>1746.4190498453543</v>
      </c>
      <c r="F149" s="18">
        <f>IF($B149="","",D149*('DSCR Calculator'!$C$7/12))</f>
        <v>1257.8238532372825</v>
      </c>
      <c r="G149" s="18">
        <f t="shared" si="6"/>
        <v>488.59519660807177</v>
      </c>
      <c r="H149" s="18">
        <f t="shared" si="7"/>
        <v>215138.35107264033</v>
      </c>
    </row>
    <row r="150" spans="2:8" x14ac:dyDescent="0.25">
      <c r="B150" s="23">
        <f>IF(143&lt;='DSCR Calculator'!$C$8*12,143,"")</f>
        <v>143</v>
      </c>
      <c r="C150" s="24">
        <f ca="1">IF($B150="","",EDATE(TODAY(),143))</f>
        <v>50612</v>
      </c>
      <c r="D150" s="18">
        <f t="shared" si="8"/>
        <v>215138.35107264033</v>
      </c>
      <c r="E150" s="18">
        <f>IF($B150="","",MIN('DSCR Calculator'!$C$23,D150+F150))</f>
        <v>1746.4190498453543</v>
      </c>
      <c r="F150" s="18">
        <f>IF($B150="","",D150*('DSCR Calculator'!$C$7/12))</f>
        <v>1254.9737145904021</v>
      </c>
      <c r="G150" s="18">
        <f t="shared" si="6"/>
        <v>491.44533525495217</v>
      </c>
      <c r="H150" s="18">
        <f t="shared" si="7"/>
        <v>214646.90573738539</v>
      </c>
    </row>
    <row r="151" spans="2:8" x14ac:dyDescent="0.25">
      <c r="B151" s="23">
        <f>IF(144&lt;='DSCR Calculator'!$C$8*12,144,"")</f>
        <v>144</v>
      </c>
      <c r="C151" s="24">
        <f ca="1">IF($B151="","",EDATE(TODAY(),144))</f>
        <v>50643</v>
      </c>
      <c r="D151" s="18">
        <f t="shared" si="8"/>
        <v>214646.90573738539</v>
      </c>
      <c r="E151" s="18">
        <f>IF($B151="","",MIN('DSCR Calculator'!$C$23,D151+F151))</f>
        <v>1746.4190498453543</v>
      </c>
      <c r="F151" s="18">
        <f>IF($B151="","",D151*('DSCR Calculator'!$C$7/12))</f>
        <v>1252.1069501347481</v>
      </c>
      <c r="G151" s="18">
        <f t="shared" si="6"/>
        <v>494.31209971060616</v>
      </c>
      <c r="H151" s="18">
        <f t="shared" si="7"/>
        <v>214152.59363767478</v>
      </c>
    </row>
    <row r="152" spans="2:8" x14ac:dyDescent="0.25">
      <c r="B152" s="23">
        <f>IF(145&lt;='DSCR Calculator'!$C$8*12,145,"")</f>
        <v>145</v>
      </c>
      <c r="C152" s="24">
        <f ca="1">IF($B152="","",EDATE(TODAY(),145))</f>
        <v>50674</v>
      </c>
      <c r="D152" s="18">
        <f t="shared" si="8"/>
        <v>214152.59363767478</v>
      </c>
      <c r="E152" s="18">
        <f>IF($B152="","",MIN('DSCR Calculator'!$C$23,D152+F152))</f>
        <v>1746.4190498453543</v>
      </c>
      <c r="F152" s="18">
        <f>IF($B152="","",D152*('DSCR Calculator'!$C$7/12))</f>
        <v>1249.2234628864362</v>
      </c>
      <c r="G152" s="18">
        <f t="shared" si="6"/>
        <v>497.19558695891806</v>
      </c>
      <c r="H152" s="18">
        <f t="shared" si="7"/>
        <v>213655.39805071586</v>
      </c>
    </row>
    <row r="153" spans="2:8" x14ac:dyDescent="0.25">
      <c r="B153" s="23">
        <f>IF(146&lt;='DSCR Calculator'!$C$8*12,146,"")</f>
        <v>146</v>
      </c>
      <c r="C153" s="24">
        <f ca="1">IF($B153="","",EDATE(TODAY(),146))</f>
        <v>50704</v>
      </c>
      <c r="D153" s="18">
        <f t="shared" si="8"/>
        <v>213655.39805071586</v>
      </c>
      <c r="E153" s="18">
        <f>IF($B153="","",MIN('DSCR Calculator'!$C$23,D153+F153))</f>
        <v>1746.4190498453543</v>
      </c>
      <c r="F153" s="18">
        <f>IF($B153="","",D153*('DSCR Calculator'!$C$7/12))</f>
        <v>1246.3231552958425</v>
      </c>
      <c r="G153" s="18">
        <f t="shared" si="6"/>
        <v>500.09589454951174</v>
      </c>
      <c r="H153" s="18">
        <f t="shared" si="7"/>
        <v>213155.30215616635</v>
      </c>
    </row>
    <row r="154" spans="2:8" x14ac:dyDescent="0.25">
      <c r="B154" s="23">
        <f>IF(147&lt;='DSCR Calculator'!$C$8*12,147,"")</f>
        <v>147</v>
      </c>
      <c r="C154" s="24">
        <f ca="1">IF($B154="","",EDATE(TODAY(),147))</f>
        <v>50735</v>
      </c>
      <c r="D154" s="18">
        <f t="shared" si="8"/>
        <v>213155.30215616635</v>
      </c>
      <c r="E154" s="18">
        <f>IF($B154="","",MIN('DSCR Calculator'!$C$23,D154+F154))</f>
        <v>1746.4190498453543</v>
      </c>
      <c r="F154" s="18">
        <f>IF($B154="","",D154*('DSCR Calculator'!$C$7/12))</f>
        <v>1243.4059292443037</v>
      </c>
      <c r="G154" s="18">
        <f t="shared" si="6"/>
        <v>503.01312060105056</v>
      </c>
      <c r="H154" s="18">
        <f t="shared" si="7"/>
        <v>212652.28903556531</v>
      </c>
    </row>
    <row r="155" spans="2:8" x14ac:dyDescent="0.25">
      <c r="B155" s="23">
        <f>IF(148&lt;='DSCR Calculator'!$C$8*12,148,"")</f>
        <v>148</v>
      </c>
      <c r="C155" s="24">
        <f ca="1">IF($B155="","",EDATE(TODAY(),148))</f>
        <v>50765</v>
      </c>
      <c r="D155" s="18">
        <f t="shared" si="8"/>
        <v>212652.28903556531</v>
      </c>
      <c r="E155" s="18">
        <f>IF($B155="","",MIN('DSCR Calculator'!$C$23,D155+F155))</f>
        <v>1746.4190498453543</v>
      </c>
      <c r="F155" s="18">
        <f>IF($B155="","",D155*('DSCR Calculator'!$C$7/12))</f>
        <v>1240.4716860407977</v>
      </c>
      <c r="G155" s="18">
        <f t="shared" si="6"/>
        <v>505.94736380455652</v>
      </c>
      <c r="H155" s="18">
        <f t="shared" si="7"/>
        <v>212146.34167176075</v>
      </c>
    </row>
    <row r="156" spans="2:8" x14ac:dyDescent="0.25">
      <c r="B156" s="23">
        <f>IF(149&lt;='DSCR Calculator'!$C$8*12,149,"")</f>
        <v>149</v>
      </c>
      <c r="C156" s="24">
        <f ca="1">IF($B156="","",EDATE(TODAY(),149))</f>
        <v>50796</v>
      </c>
      <c r="D156" s="18">
        <f t="shared" si="8"/>
        <v>212146.34167176075</v>
      </c>
      <c r="E156" s="18">
        <f>IF($B156="","",MIN('DSCR Calculator'!$C$23,D156+F156))</f>
        <v>1746.4190498453543</v>
      </c>
      <c r="F156" s="18">
        <f>IF($B156="","",D156*('DSCR Calculator'!$C$7/12))</f>
        <v>1237.5203264186043</v>
      </c>
      <c r="G156" s="18">
        <f t="shared" si="6"/>
        <v>508.89872342674994</v>
      </c>
      <c r="H156" s="18">
        <f t="shared" si="7"/>
        <v>211637.44294833401</v>
      </c>
    </row>
    <row r="157" spans="2:8" x14ac:dyDescent="0.25">
      <c r="B157" s="23">
        <f>IF(150&lt;='DSCR Calculator'!$C$8*12,150,"")</f>
        <v>150</v>
      </c>
      <c r="C157" s="24">
        <f ca="1">IF($B157="","",EDATE(TODAY(),150))</f>
        <v>50827</v>
      </c>
      <c r="D157" s="18">
        <f t="shared" si="8"/>
        <v>211637.44294833401</v>
      </c>
      <c r="E157" s="18">
        <f>IF($B157="","",MIN('DSCR Calculator'!$C$23,D157+F157))</f>
        <v>1746.4190498453543</v>
      </c>
      <c r="F157" s="18">
        <f>IF($B157="","",D157*('DSCR Calculator'!$C$7/12))</f>
        <v>1234.5517505319485</v>
      </c>
      <c r="G157" s="18">
        <f t="shared" si="6"/>
        <v>511.86729931340574</v>
      </c>
      <c r="H157" s="18">
        <f t="shared" si="7"/>
        <v>211125.57564902061</v>
      </c>
    </row>
    <row r="158" spans="2:8" x14ac:dyDescent="0.25">
      <c r="B158" s="23">
        <f>IF(151&lt;='DSCR Calculator'!$C$8*12,151,"")</f>
        <v>151</v>
      </c>
      <c r="C158" s="24">
        <f ca="1">IF($B158="","",EDATE(TODAY(),151))</f>
        <v>50855</v>
      </c>
      <c r="D158" s="18">
        <f t="shared" si="8"/>
        <v>211125.57564902061</v>
      </c>
      <c r="E158" s="18">
        <f>IF($B158="","",MIN('DSCR Calculator'!$C$23,D158+F158))</f>
        <v>1746.4190498453543</v>
      </c>
      <c r="F158" s="18">
        <f>IF($B158="","",D158*('DSCR Calculator'!$C$7/12))</f>
        <v>1231.5658579526203</v>
      </c>
      <c r="G158" s="18">
        <f t="shared" si="6"/>
        <v>514.853191892734</v>
      </c>
      <c r="H158" s="18">
        <f t="shared" si="7"/>
        <v>210610.72245712788</v>
      </c>
    </row>
    <row r="159" spans="2:8" x14ac:dyDescent="0.25">
      <c r="B159" s="23">
        <f>IF(152&lt;='DSCR Calculator'!$C$8*12,152,"")</f>
        <v>152</v>
      </c>
      <c r="C159" s="24">
        <f ca="1">IF($B159="","",EDATE(TODAY(),152))</f>
        <v>50886</v>
      </c>
      <c r="D159" s="18">
        <f t="shared" si="8"/>
        <v>210610.72245712788</v>
      </c>
      <c r="E159" s="18">
        <f>IF($B159="","",MIN('DSCR Calculator'!$C$23,D159+F159))</f>
        <v>1746.4190498453543</v>
      </c>
      <c r="F159" s="18">
        <f>IF($B159="","",D159*('DSCR Calculator'!$C$7/12))</f>
        <v>1228.5625476665793</v>
      </c>
      <c r="G159" s="18">
        <f t="shared" si="6"/>
        <v>517.85650217877492</v>
      </c>
      <c r="H159" s="18">
        <f t="shared" si="7"/>
        <v>210092.86595494911</v>
      </c>
    </row>
    <row r="160" spans="2:8" x14ac:dyDescent="0.25">
      <c r="B160" s="23">
        <f>IF(153&lt;='DSCR Calculator'!$C$8*12,153,"")</f>
        <v>153</v>
      </c>
      <c r="C160" s="24">
        <f ca="1">IF($B160="","",EDATE(TODAY(),153))</f>
        <v>50916</v>
      </c>
      <c r="D160" s="18">
        <f t="shared" si="8"/>
        <v>210092.86595494911</v>
      </c>
      <c r="E160" s="18">
        <f>IF($B160="","",MIN('DSCR Calculator'!$C$23,D160+F160))</f>
        <v>1746.4190498453543</v>
      </c>
      <c r="F160" s="18">
        <f>IF($B160="","",D160*('DSCR Calculator'!$C$7/12))</f>
        <v>1225.5417180705365</v>
      </c>
      <c r="G160" s="18">
        <f t="shared" si="6"/>
        <v>520.87733177481778</v>
      </c>
      <c r="H160" s="18">
        <f t="shared" si="7"/>
        <v>209571.98862317429</v>
      </c>
    </row>
    <row r="161" spans="2:8" x14ac:dyDescent="0.25">
      <c r="B161" s="23">
        <f>IF(154&lt;='DSCR Calculator'!$C$8*12,154,"")</f>
        <v>154</v>
      </c>
      <c r="C161" s="24">
        <f ca="1">IF($B161="","",EDATE(TODAY(),154))</f>
        <v>50947</v>
      </c>
      <c r="D161" s="18">
        <f t="shared" si="8"/>
        <v>209571.98862317429</v>
      </c>
      <c r="E161" s="18">
        <f>IF($B161="","",MIN('DSCR Calculator'!$C$23,D161+F161))</f>
        <v>1746.4190498453543</v>
      </c>
      <c r="F161" s="18">
        <f>IF($B161="","",D161*('DSCR Calculator'!$C$7/12))</f>
        <v>1222.5032669685168</v>
      </c>
      <c r="G161" s="18">
        <f t="shared" si="6"/>
        <v>523.91578287683751</v>
      </c>
      <c r="H161" s="18">
        <f t="shared" si="7"/>
        <v>209048.07284029745</v>
      </c>
    </row>
    <row r="162" spans="2:8" x14ac:dyDescent="0.25">
      <c r="B162" s="23">
        <f>IF(155&lt;='DSCR Calculator'!$C$8*12,155,"")</f>
        <v>155</v>
      </c>
      <c r="C162" s="24">
        <f ca="1">IF($B162="","",EDATE(TODAY(),155))</f>
        <v>50977</v>
      </c>
      <c r="D162" s="18">
        <f t="shared" si="8"/>
        <v>209048.07284029745</v>
      </c>
      <c r="E162" s="18">
        <f>IF($B162="","",MIN('DSCR Calculator'!$C$23,D162+F162))</f>
        <v>1746.4190498453543</v>
      </c>
      <c r="F162" s="18">
        <f>IF($B162="","",D162*('DSCR Calculator'!$C$7/12))</f>
        <v>1219.4470915684019</v>
      </c>
      <c r="G162" s="18">
        <f t="shared" si="6"/>
        <v>526.97195827695236</v>
      </c>
      <c r="H162" s="18">
        <f t="shared" si="7"/>
        <v>208521.10088202049</v>
      </c>
    </row>
    <row r="163" spans="2:8" x14ac:dyDescent="0.25">
      <c r="B163" s="23">
        <f>IF(156&lt;='DSCR Calculator'!$C$8*12,156,"")</f>
        <v>156</v>
      </c>
      <c r="C163" s="24">
        <f ca="1">IF($B163="","",EDATE(TODAY(),156))</f>
        <v>51008</v>
      </c>
      <c r="D163" s="18">
        <f t="shared" si="8"/>
        <v>208521.10088202049</v>
      </c>
      <c r="E163" s="18">
        <f>IF($B163="","",MIN('DSCR Calculator'!$C$23,D163+F163))</f>
        <v>1746.4190498453543</v>
      </c>
      <c r="F163" s="18">
        <f>IF($B163="","",D163*('DSCR Calculator'!$C$7/12))</f>
        <v>1216.3730884784529</v>
      </c>
      <c r="G163" s="18">
        <f t="shared" si="6"/>
        <v>530.04596136690134</v>
      </c>
      <c r="H163" s="18">
        <f t="shared" si="7"/>
        <v>207991.05492065358</v>
      </c>
    </row>
    <row r="164" spans="2:8" x14ac:dyDescent="0.25">
      <c r="B164" s="23">
        <f>IF(157&lt;='DSCR Calculator'!$C$8*12,157,"")</f>
        <v>157</v>
      </c>
      <c r="C164" s="24">
        <f ca="1">IF($B164="","",EDATE(TODAY(),157))</f>
        <v>51039</v>
      </c>
      <c r="D164" s="18">
        <f t="shared" si="8"/>
        <v>207991.05492065358</v>
      </c>
      <c r="E164" s="18">
        <f>IF($B164="","",MIN('DSCR Calculator'!$C$23,D164+F164))</f>
        <v>1746.4190498453543</v>
      </c>
      <c r="F164" s="18">
        <f>IF($B164="","",D164*('DSCR Calculator'!$C$7/12))</f>
        <v>1213.2811537038126</v>
      </c>
      <c r="G164" s="18">
        <f t="shared" si="6"/>
        <v>533.13789614154166</v>
      </c>
      <c r="H164" s="18">
        <f t="shared" si="7"/>
        <v>207457.91702451205</v>
      </c>
    </row>
    <row r="165" spans="2:8" x14ac:dyDescent="0.25">
      <c r="B165" s="23">
        <f>IF(158&lt;='DSCR Calculator'!$C$8*12,158,"")</f>
        <v>158</v>
      </c>
      <c r="C165" s="24">
        <f ca="1">IF($B165="","",EDATE(TODAY(),158))</f>
        <v>51069</v>
      </c>
      <c r="D165" s="18">
        <f t="shared" si="8"/>
        <v>207457.91702451205</v>
      </c>
      <c r="E165" s="18">
        <f>IF($B165="","",MIN('DSCR Calculator'!$C$23,D165+F165))</f>
        <v>1746.4190498453543</v>
      </c>
      <c r="F165" s="18">
        <f>IF($B165="","",D165*('DSCR Calculator'!$C$7/12))</f>
        <v>1210.1711826429871</v>
      </c>
      <c r="G165" s="18">
        <f t="shared" si="6"/>
        <v>536.24786720236716</v>
      </c>
      <c r="H165" s="18">
        <f t="shared" si="7"/>
        <v>206921.66915730969</v>
      </c>
    </row>
    <row r="166" spans="2:8" x14ac:dyDescent="0.25">
      <c r="B166" s="23">
        <f>IF(159&lt;='DSCR Calculator'!$C$8*12,159,"")</f>
        <v>159</v>
      </c>
      <c r="C166" s="24">
        <f ca="1">IF($B166="","",EDATE(TODAY(),159))</f>
        <v>51100</v>
      </c>
      <c r="D166" s="18">
        <f t="shared" si="8"/>
        <v>206921.66915730969</v>
      </c>
      <c r="E166" s="18">
        <f>IF($B166="","",MIN('DSCR Calculator'!$C$23,D166+F166))</f>
        <v>1746.4190498453543</v>
      </c>
      <c r="F166" s="18">
        <f>IF($B166="","",D166*('DSCR Calculator'!$C$7/12))</f>
        <v>1207.0430700843067</v>
      </c>
      <c r="G166" s="18">
        <f t="shared" si="6"/>
        <v>539.37597976104757</v>
      </c>
      <c r="H166" s="18">
        <f t="shared" si="7"/>
        <v>206382.29317754865</v>
      </c>
    </row>
    <row r="167" spans="2:8" x14ac:dyDescent="0.25">
      <c r="B167" s="23">
        <f>IF(160&lt;='DSCR Calculator'!$C$8*12,160,"")</f>
        <v>160</v>
      </c>
      <c r="C167" s="24">
        <f ca="1">IF($B167="","",EDATE(TODAY(),160))</f>
        <v>51130</v>
      </c>
      <c r="D167" s="18">
        <f t="shared" si="8"/>
        <v>206382.29317754865</v>
      </c>
      <c r="E167" s="18">
        <f>IF($B167="","",MIN('DSCR Calculator'!$C$23,D167+F167))</f>
        <v>1746.4190498453543</v>
      </c>
      <c r="F167" s="18">
        <f>IF($B167="","",D167*('DSCR Calculator'!$C$7/12))</f>
        <v>1203.8967102023671</v>
      </c>
      <c r="G167" s="18">
        <f t="shared" si="6"/>
        <v>542.52233964298716</v>
      </c>
      <c r="H167" s="18">
        <f t="shared" si="7"/>
        <v>205839.77083790567</v>
      </c>
    </row>
    <row r="168" spans="2:8" x14ac:dyDescent="0.25">
      <c r="B168" s="23">
        <f>IF(161&lt;='DSCR Calculator'!$C$8*12,161,"")</f>
        <v>161</v>
      </c>
      <c r="C168" s="24">
        <f ca="1">IF($B168="","",EDATE(TODAY(),161))</f>
        <v>51161</v>
      </c>
      <c r="D168" s="18">
        <f t="shared" si="8"/>
        <v>205839.77083790567</v>
      </c>
      <c r="E168" s="18">
        <f>IF($B168="","",MIN('DSCR Calculator'!$C$23,D168+F168))</f>
        <v>1746.4190498453543</v>
      </c>
      <c r="F168" s="18">
        <f>IF($B168="","",D168*('DSCR Calculator'!$C$7/12))</f>
        <v>1200.7319965544498</v>
      </c>
      <c r="G168" s="18">
        <f t="shared" si="6"/>
        <v>545.68705329090449</v>
      </c>
      <c r="H168" s="18">
        <f t="shared" si="7"/>
        <v>205294.08378461478</v>
      </c>
    </row>
    <row r="169" spans="2:8" x14ac:dyDescent="0.25">
      <c r="B169" s="23">
        <f>IF(162&lt;='DSCR Calculator'!$C$8*12,162,"")</f>
        <v>162</v>
      </c>
      <c r="C169" s="24">
        <f ca="1">IF($B169="","",EDATE(TODAY(),162))</f>
        <v>51192</v>
      </c>
      <c r="D169" s="18">
        <f t="shared" si="8"/>
        <v>205294.08378461478</v>
      </c>
      <c r="E169" s="18">
        <f>IF($B169="","",MIN('DSCR Calculator'!$C$23,D169+F169))</f>
        <v>1746.4190498453543</v>
      </c>
      <c r="F169" s="18">
        <f>IF($B169="","",D169*('DSCR Calculator'!$C$7/12))</f>
        <v>1197.5488220769196</v>
      </c>
      <c r="G169" s="18">
        <f t="shared" si="6"/>
        <v>548.87022776843469</v>
      </c>
      <c r="H169" s="18">
        <f t="shared" si="7"/>
        <v>204745.21355684634</v>
      </c>
    </row>
    <row r="170" spans="2:8" x14ac:dyDescent="0.25">
      <c r="B170" s="23">
        <f>IF(163&lt;='DSCR Calculator'!$C$8*12,163,"")</f>
        <v>163</v>
      </c>
      <c r="C170" s="24">
        <f ca="1">IF($B170="","",EDATE(TODAY(),163))</f>
        <v>51221</v>
      </c>
      <c r="D170" s="18">
        <f t="shared" si="8"/>
        <v>204745.21355684634</v>
      </c>
      <c r="E170" s="18">
        <f>IF($B170="","",MIN('DSCR Calculator'!$C$23,D170+F170))</f>
        <v>1746.4190498453543</v>
      </c>
      <c r="F170" s="18">
        <f>IF($B170="","",D170*('DSCR Calculator'!$C$7/12))</f>
        <v>1194.3470790816036</v>
      </c>
      <c r="G170" s="18">
        <f t="shared" si="6"/>
        <v>552.07197076375064</v>
      </c>
      <c r="H170" s="18">
        <f t="shared" si="7"/>
        <v>204193.14158608258</v>
      </c>
    </row>
    <row r="171" spans="2:8" x14ac:dyDescent="0.25">
      <c r="B171" s="23">
        <f>IF(164&lt;='DSCR Calculator'!$C$8*12,164,"")</f>
        <v>164</v>
      </c>
      <c r="C171" s="24">
        <f ca="1">IF($B171="","",EDATE(TODAY(),164))</f>
        <v>51252</v>
      </c>
      <c r="D171" s="18">
        <f t="shared" si="8"/>
        <v>204193.14158608258</v>
      </c>
      <c r="E171" s="18">
        <f>IF($B171="","",MIN('DSCR Calculator'!$C$23,D171+F171))</f>
        <v>1746.4190498453543</v>
      </c>
      <c r="F171" s="18">
        <f>IF($B171="","",D171*('DSCR Calculator'!$C$7/12))</f>
        <v>1191.1266592521483</v>
      </c>
      <c r="G171" s="18">
        <f t="shared" si="6"/>
        <v>555.29239059320594</v>
      </c>
      <c r="H171" s="18">
        <f t="shared" si="7"/>
        <v>203637.84919548937</v>
      </c>
    </row>
    <row r="172" spans="2:8" x14ac:dyDescent="0.25">
      <c r="B172" s="23">
        <f>IF(165&lt;='DSCR Calculator'!$C$8*12,165,"")</f>
        <v>165</v>
      </c>
      <c r="C172" s="24">
        <f ca="1">IF($B172="","",EDATE(TODAY(),165))</f>
        <v>51282</v>
      </c>
      <c r="D172" s="18">
        <f t="shared" si="8"/>
        <v>203637.84919548937</v>
      </c>
      <c r="E172" s="18">
        <f>IF($B172="","",MIN('DSCR Calculator'!$C$23,D172+F172))</f>
        <v>1746.4190498453543</v>
      </c>
      <c r="F172" s="18">
        <f>IF($B172="","",D172*('DSCR Calculator'!$C$7/12))</f>
        <v>1187.8874536403548</v>
      </c>
      <c r="G172" s="18">
        <f t="shared" si="6"/>
        <v>558.53159620499946</v>
      </c>
      <c r="H172" s="18">
        <f t="shared" si="7"/>
        <v>203079.31759928438</v>
      </c>
    </row>
    <row r="173" spans="2:8" x14ac:dyDescent="0.25">
      <c r="B173" s="23">
        <f>IF(166&lt;='DSCR Calculator'!$C$8*12,166,"")</f>
        <v>166</v>
      </c>
      <c r="C173" s="24">
        <f ca="1">IF($B173="","",EDATE(TODAY(),166))</f>
        <v>51313</v>
      </c>
      <c r="D173" s="18">
        <f t="shared" si="8"/>
        <v>203079.31759928438</v>
      </c>
      <c r="E173" s="18">
        <f>IF($B173="","",MIN('DSCR Calculator'!$C$23,D173+F173))</f>
        <v>1746.4190498453543</v>
      </c>
      <c r="F173" s="18">
        <f>IF($B173="","",D173*('DSCR Calculator'!$C$7/12))</f>
        <v>1184.6293526624922</v>
      </c>
      <c r="G173" s="18">
        <f t="shared" si="6"/>
        <v>561.78969718286203</v>
      </c>
      <c r="H173" s="18">
        <f t="shared" si="7"/>
        <v>202517.52790210152</v>
      </c>
    </row>
    <row r="174" spans="2:8" x14ac:dyDescent="0.25">
      <c r="B174" s="23">
        <f>IF(167&lt;='DSCR Calculator'!$C$8*12,167,"")</f>
        <v>167</v>
      </c>
      <c r="C174" s="24">
        <f ca="1">IF($B174="","",EDATE(TODAY(),167))</f>
        <v>51343</v>
      </c>
      <c r="D174" s="18">
        <f t="shared" si="8"/>
        <v>202517.52790210152</v>
      </c>
      <c r="E174" s="18">
        <f>IF($B174="","",MIN('DSCR Calculator'!$C$23,D174+F174))</f>
        <v>1746.4190498453543</v>
      </c>
      <c r="F174" s="18">
        <f>IF($B174="","",D174*('DSCR Calculator'!$C$7/12))</f>
        <v>1181.3522460955921</v>
      </c>
      <c r="G174" s="18">
        <f t="shared" si="6"/>
        <v>565.06680374976213</v>
      </c>
      <c r="H174" s="18">
        <f t="shared" si="7"/>
        <v>201952.46109835175</v>
      </c>
    </row>
    <row r="175" spans="2:8" x14ac:dyDescent="0.25">
      <c r="B175" s="23">
        <f>IF(168&lt;='DSCR Calculator'!$C$8*12,168,"")</f>
        <v>168</v>
      </c>
      <c r="C175" s="24">
        <f ca="1">IF($B175="","",EDATE(TODAY(),168))</f>
        <v>51374</v>
      </c>
      <c r="D175" s="18">
        <f t="shared" si="8"/>
        <v>201952.46109835175</v>
      </c>
      <c r="E175" s="18">
        <f>IF($B175="","",MIN('DSCR Calculator'!$C$23,D175+F175))</f>
        <v>1746.4190498453543</v>
      </c>
      <c r="F175" s="18">
        <f>IF($B175="","",D175*('DSCR Calculator'!$C$7/12))</f>
        <v>1178.0560230737185</v>
      </c>
      <c r="G175" s="18">
        <f t="shared" si="6"/>
        <v>568.36302677163576</v>
      </c>
      <c r="H175" s="18">
        <f t="shared" si="7"/>
        <v>201384.09807158011</v>
      </c>
    </row>
    <row r="176" spans="2:8" x14ac:dyDescent="0.25">
      <c r="B176" s="23">
        <f>IF(169&lt;='DSCR Calculator'!$C$8*12,169,"")</f>
        <v>169</v>
      </c>
      <c r="C176" s="24">
        <f ca="1">IF($B176="","",EDATE(TODAY(),169))</f>
        <v>51405</v>
      </c>
      <c r="D176" s="18">
        <f t="shared" si="8"/>
        <v>201384.09807158011</v>
      </c>
      <c r="E176" s="18">
        <f>IF($B176="","",MIN('DSCR Calculator'!$C$23,D176+F176))</f>
        <v>1746.4190498453543</v>
      </c>
      <c r="F176" s="18">
        <f>IF($B176="","",D176*('DSCR Calculator'!$C$7/12))</f>
        <v>1174.7405720842173</v>
      </c>
      <c r="G176" s="18">
        <f t="shared" si="6"/>
        <v>571.67847776113695</v>
      </c>
      <c r="H176" s="18">
        <f t="shared" si="7"/>
        <v>200812.41959381898</v>
      </c>
    </row>
    <row r="177" spans="2:8" x14ac:dyDescent="0.25">
      <c r="B177" s="23">
        <f>IF(170&lt;='DSCR Calculator'!$C$8*12,170,"")</f>
        <v>170</v>
      </c>
      <c r="C177" s="24">
        <f ca="1">IF($B177="","",EDATE(TODAY(),170))</f>
        <v>51435</v>
      </c>
      <c r="D177" s="18">
        <f t="shared" si="8"/>
        <v>200812.41959381898</v>
      </c>
      <c r="E177" s="18">
        <f>IF($B177="","",MIN('DSCR Calculator'!$C$23,D177+F177))</f>
        <v>1746.4190498453543</v>
      </c>
      <c r="F177" s="18">
        <f>IF($B177="","",D177*('DSCR Calculator'!$C$7/12))</f>
        <v>1171.4057809639442</v>
      </c>
      <c r="G177" s="18">
        <f t="shared" si="6"/>
        <v>575.01326888141011</v>
      </c>
      <c r="H177" s="18">
        <f t="shared" si="7"/>
        <v>200237.40632493756</v>
      </c>
    </row>
    <row r="178" spans="2:8" x14ac:dyDescent="0.25">
      <c r="B178" s="23">
        <f>IF(171&lt;='DSCR Calculator'!$C$8*12,171,"")</f>
        <v>171</v>
      </c>
      <c r="C178" s="24">
        <f ca="1">IF($B178="","",EDATE(TODAY(),171))</f>
        <v>51466</v>
      </c>
      <c r="D178" s="18">
        <f t="shared" si="8"/>
        <v>200237.40632493756</v>
      </c>
      <c r="E178" s="18">
        <f>IF($B178="","",MIN('DSCR Calculator'!$C$23,D178+F178))</f>
        <v>1746.4190498453543</v>
      </c>
      <c r="F178" s="18">
        <f>IF($B178="","",D178*('DSCR Calculator'!$C$7/12))</f>
        <v>1168.0515368954691</v>
      </c>
      <c r="G178" s="18">
        <f t="shared" si="6"/>
        <v>578.36751294988517</v>
      </c>
      <c r="H178" s="18">
        <f t="shared" si="7"/>
        <v>199659.03881198767</v>
      </c>
    </row>
    <row r="179" spans="2:8" x14ac:dyDescent="0.25">
      <c r="B179" s="23">
        <f>IF(172&lt;='DSCR Calculator'!$C$8*12,172,"")</f>
        <v>172</v>
      </c>
      <c r="C179" s="24">
        <f ca="1">IF($B179="","",EDATE(TODAY(),172))</f>
        <v>51496</v>
      </c>
      <c r="D179" s="18">
        <f t="shared" si="8"/>
        <v>199659.03881198767</v>
      </c>
      <c r="E179" s="18">
        <f>IF($B179="","",MIN('DSCR Calculator'!$C$23,D179+F179))</f>
        <v>1746.4190498453543</v>
      </c>
      <c r="F179" s="18">
        <f>IF($B179="","",D179*('DSCR Calculator'!$C$7/12))</f>
        <v>1164.6777264032614</v>
      </c>
      <c r="G179" s="18">
        <f t="shared" si="6"/>
        <v>581.74132344209283</v>
      </c>
      <c r="H179" s="18">
        <f t="shared" si="7"/>
        <v>199077.29748854559</v>
      </c>
    </row>
    <row r="180" spans="2:8" x14ac:dyDescent="0.25">
      <c r="B180" s="23">
        <f>IF(173&lt;='DSCR Calculator'!$C$8*12,173,"")</f>
        <v>173</v>
      </c>
      <c r="C180" s="24">
        <f ca="1">IF($B180="","",EDATE(TODAY(),173))</f>
        <v>51527</v>
      </c>
      <c r="D180" s="18">
        <f t="shared" si="8"/>
        <v>199077.29748854559</v>
      </c>
      <c r="E180" s="18">
        <f>IF($B180="","",MIN('DSCR Calculator'!$C$23,D180+F180))</f>
        <v>1746.4190498453543</v>
      </c>
      <c r="F180" s="18">
        <f>IF($B180="","",D180*('DSCR Calculator'!$C$7/12))</f>
        <v>1161.2842353498493</v>
      </c>
      <c r="G180" s="18">
        <f t="shared" si="6"/>
        <v>585.134814495505</v>
      </c>
      <c r="H180" s="18">
        <f t="shared" si="7"/>
        <v>198492.16267405008</v>
      </c>
    </row>
    <row r="181" spans="2:8" x14ac:dyDescent="0.25">
      <c r="B181" s="23">
        <f>IF(174&lt;='DSCR Calculator'!$C$8*12,174,"")</f>
        <v>174</v>
      </c>
      <c r="C181" s="24">
        <f ca="1">IF($B181="","",EDATE(TODAY(),174))</f>
        <v>51558</v>
      </c>
      <c r="D181" s="18">
        <f t="shared" si="8"/>
        <v>198492.16267405008</v>
      </c>
      <c r="E181" s="18">
        <f>IF($B181="","",MIN('DSCR Calculator'!$C$23,D181+F181))</f>
        <v>1746.4190498453543</v>
      </c>
      <c r="F181" s="18">
        <f>IF($B181="","",D181*('DSCR Calculator'!$C$7/12))</f>
        <v>1157.8709489319588</v>
      </c>
      <c r="G181" s="18">
        <f t="shared" si="6"/>
        <v>588.5481009133955</v>
      </c>
      <c r="H181" s="18">
        <f t="shared" si="7"/>
        <v>197903.61457313667</v>
      </c>
    </row>
    <row r="182" spans="2:8" x14ac:dyDescent="0.25">
      <c r="B182" s="23">
        <f>IF(175&lt;='DSCR Calculator'!$C$8*12,175,"")</f>
        <v>175</v>
      </c>
      <c r="C182" s="24">
        <f ca="1">IF($B182="","",EDATE(TODAY(),175))</f>
        <v>51586</v>
      </c>
      <c r="D182" s="18">
        <f t="shared" si="8"/>
        <v>197903.61457313667</v>
      </c>
      <c r="E182" s="18">
        <f>IF($B182="","",MIN('DSCR Calculator'!$C$23,D182+F182))</f>
        <v>1746.4190498453543</v>
      </c>
      <c r="F182" s="18">
        <f>IF($B182="","",D182*('DSCR Calculator'!$C$7/12))</f>
        <v>1154.4377516766306</v>
      </c>
      <c r="G182" s="18">
        <f t="shared" si="6"/>
        <v>591.9812981687237</v>
      </c>
      <c r="H182" s="18">
        <f t="shared" si="7"/>
        <v>197311.63327496796</v>
      </c>
    </row>
    <row r="183" spans="2:8" x14ac:dyDescent="0.25">
      <c r="B183" s="23">
        <f>IF(176&lt;='DSCR Calculator'!$C$8*12,176,"")</f>
        <v>176</v>
      </c>
      <c r="C183" s="24">
        <f ca="1">IF($B183="","",EDATE(TODAY(),176))</f>
        <v>51617</v>
      </c>
      <c r="D183" s="18">
        <f t="shared" si="8"/>
        <v>197311.63327496796</v>
      </c>
      <c r="E183" s="18">
        <f>IF($B183="","",MIN('DSCR Calculator'!$C$23,D183+F183))</f>
        <v>1746.4190498453543</v>
      </c>
      <c r="F183" s="18">
        <f>IF($B183="","",D183*('DSCR Calculator'!$C$7/12))</f>
        <v>1150.9845274373131</v>
      </c>
      <c r="G183" s="18">
        <f t="shared" si="6"/>
        <v>595.43452240804118</v>
      </c>
      <c r="H183" s="18">
        <f t="shared" si="7"/>
        <v>196716.19875255993</v>
      </c>
    </row>
    <row r="184" spans="2:8" x14ac:dyDescent="0.25">
      <c r="B184" s="23">
        <f>IF(177&lt;='DSCR Calculator'!$C$8*12,177,"")</f>
        <v>177</v>
      </c>
      <c r="C184" s="24">
        <f ca="1">IF($B184="","",EDATE(TODAY(),177))</f>
        <v>51647</v>
      </c>
      <c r="D184" s="18">
        <f t="shared" si="8"/>
        <v>196716.19875255993</v>
      </c>
      <c r="E184" s="18">
        <f>IF($B184="","",MIN('DSCR Calculator'!$C$23,D184+F184))</f>
        <v>1746.4190498453543</v>
      </c>
      <c r="F184" s="18">
        <f>IF($B184="","",D184*('DSCR Calculator'!$C$7/12))</f>
        <v>1147.511159389933</v>
      </c>
      <c r="G184" s="18">
        <f t="shared" si="6"/>
        <v>598.90789045542124</v>
      </c>
      <c r="H184" s="18">
        <f t="shared" si="7"/>
        <v>196117.29086210451</v>
      </c>
    </row>
    <row r="185" spans="2:8" x14ac:dyDescent="0.25">
      <c r="B185" s="23">
        <f>IF(178&lt;='DSCR Calculator'!$C$8*12,178,"")</f>
        <v>178</v>
      </c>
      <c r="C185" s="24">
        <f ca="1">IF($B185="","",EDATE(TODAY(),178))</f>
        <v>51678</v>
      </c>
      <c r="D185" s="18">
        <f t="shared" si="8"/>
        <v>196117.29086210451</v>
      </c>
      <c r="E185" s="18">
        <f>IF($B185="","",MIN('DSCR Calculator'!$C$23,D185+F185))</f>
        <v>1746.4190498453543</v>
      </c>
      <c r="F185" s="18">
        <f>IF($B185="","",D185*('DSCR Calculator'!$C$7/12))</f>
        <v>1144.0175300289429</v>
      </c>
      <c r="G185" s="18">
        <f t="shared" si="6"/>
        <v>602.40151981641134</v>
      </c>
      <c r="H185" s="18">
        <f t="shared" si="7"/>
        <v>195514.88934228811</v>
      </c>
    </row>
    <row r="186" spans="2:8" x14ac:dyDescent="0.25">
      <c r="B186" s="23">
        <f>IF(179&lt;='DSCR Calculator'!$C$8*12,179,"")</f>
        <v>179</v>
      </c>
      <c r="C186" s="24">
        <f ca="1">IF($B186="","",EDATE(TODAY(),179))</f>
        <v>51708</v>
      </c>
      <c r="D186" s="18">
        <f t="shared" si="8"/>
        <v>195514.88934228811</v>
      </c>
      <c r="E186" s="18">
        <f>IF($B186="","",MIN('DSCR Calculator'!$C$23,D186+F186))</f>
        <v>1746.4190498453543</v>
      </c>
      <c r="F186" s="18">
        <f>IF($B186="","",D186*('DSCR Calculator'!$C$7/12))</f>
        <v>1140.5035211633474</v>
      </c>
      <c r="G186" s="18">
        <f t="shared" si="6"/>
        <v>605.91552868200688</v>
      </c>
      <c r="H186" s="18">
        <f t="shared" si="7"/>
        <v>194908.97381360611</v>
      </c>
    </row>
    <row r="187" spans="2:8" x14ac:dyDescent="0.25">
      <c r="B187" s="23">
        <f>IF(180&lt;='DSCR Calculator'!$C$8*12,180,"")</f>
        <v>180</v>
      </c>
      <c r="C187" s="24">
        <f ca="1">IF($B187="","",EDATE(TODAY(),180))</f>
        <v>51739</v>
      </c>
      <c r="D187" s="18">
        <f t="shared" si="8"/>
        <v>194908.97381360611</v>
      </c>
      <c r="E187" s="18">
        <f>IF($B187="","",MIN('DSCR Calculator'!$C$23,D187+F187))</f>
        <v>1746.4190498453543</v>
      </c>
      <c r="F187" s="18">
        <f>IF($B187="","",D187*('DSCR Calculator'!$C$7/12))</f>
        <v>1136.9690139127024</v>
      </c>
      <c r="G187" s="18">
        <f t="shared" si="6"/>
        <v>609.45003593265187</v>
      </c>
      <c r="H187" s="18">
        <f t="shared" si="7"/>
        <v>194299.52377767346</v>
      </c>
    </row>
    <row r="188" spans="2:8" x14ac:dyDescent="0.25">
      <c r="B188" s="23">
        <f>IF(181&lt;='DSCR Calculator'!$C$8*12,181,"")</f>
        <v>181</v>
      </c>
      <c r="C188" s="24">
        <f ca="1">IF($B188="","",EDATE(TODAY(),181))</f>
        <v>51770</v>
      </c>
      <c r="D188" s="18">
        <f t="shared" si="8"/>
        <v>194299.52377767346</v>
      </c>
      <c r="E188" s="18">
        <f>IF($B188="","",MIN('DSCR Calculator'!$C$23,D188+F188))</f>
        <v>1746.4190498453543</v>
      </c>
      <c r="F188" s="18">
        <f>IF($B188="","",D188*('DSCR Calculator'!$C$7/12))</f>
        <v>1133.4138887030952</v>
      </c>
      <c r="G188" s="18">
        <f t="shared" si="6"/>
        <v>613.00516114225911</v>
      </c>
      <c r="H188" s="18">
        <f t="shared" si="7"/>
        <v>193686.51861653119</v>
      </c>
    </row>
    <row r="189" spans="2:8" x14ac:dyDescent="0.25">
      <c r="B189" s="23">
        <f>IF(182&lt;='DSCR Calculator'!$C$8*12,182,"")</f>
        <v>182</v>
      </c>
      <c r="C189" s="24">
        <f ca="1">IF($B189="","",EDATE(TODAY(),182))</f>
        <v>51800</v>
      </c>
      <c r="D189" s="18">
        <f t="shared" si="8"/>
        <v>193686.51861653119</v>
      </c>
      <c r="E189" s="18">
        <f>IF($B189="","",MIN('DSCR Calculator'!$C$23,D189+F189))</f>
        <v>1746.4190498453543</v>
      </c>
      <c r="F189" s="18">
        <f>IF($B189="","",D189*('DSCR Calculator'!$C$7/12))</f>
        <v>1129.8380252630986</v>
      </c>
      <c r="G189" s="18">
        <f t="shared" si="6"/>
        <v>616.58102458225562</v>
      </c>
      <c r="H189" s="18">
        <f t="shared" si="7"/>
        <v>193069.93759194892</v>
      </c>
    </row>
    <row r="190" spans="2:8" x14ac:dyDescent="0.25">
      <c r="B190" s="23">
        <f>IF(183&lt;='DSCR Calculator'!$C$8*12,183,"")</f>
        <v>183</v>
      </c>
      <c r="C190" s="24">
        <f ca="1">IF($B190="","",EDATE(TODAY(),183))</f>
        <v>51831</v>
      </c>
      <c r="D190" s="18">
        <f t="shared" si="8"/>
        <v>193069.93759194892</v>
      </c>
      <c r="E190" s="18">
        <f>IF($B190="","",MIN('DSCR Calculator'!$C$23,D190+F190))</f>
        <v>1746.4190498453543</v>
      </c>
      <c r="F190" s="18">
        <f>IF($B190="","",D190*('DSCR Calculator'!$C$7/12))</f>
        <v>1126.2413026197021</v>
      </c>
      <c r="G190" s="18">
        <f t="shared" si="6"/>
        <v>620.17774722565218</v>
      </c>
      <c r="H190" s="18">
        <f t="shared" si="7"/>
        <v>192449.75984472327</v>
      </c>
    </row>
    <row r="191" spans="2:8" x14ac:dyDescent="0.25">
      <c r="B191" s="23">
        <f>IF(184&lt;='DSCR Calculator'!$C$8*12,184,"")</f>
        <v>184</v>
      </c>
      <c r="C191" s="24">
        <f ca="1">IF($B191="","",EDATE(TODAY(),184))</f>
        <v>51861</v>
      </c>
      <c r="D191" s="18">
        <f t="shared" si="8"/>
        <v>192449.75984472327</v>
      </c>
      <c r="E191" s="18">
        <f>IF($B191="","",MIN('DSCR Calculator'!$C$23,D191+F191))</f>
        <v>1746.4190498453543</v>
      </c>
      <c r="F191" s="18">
        <f>IF($B191="","",D191*('DSCR Calculator'!$C$7/12))</f>
        <v>1122.6235990942191</v>
      </c>
      <c r="G191" s="18">
        <f t="shared" si="6"/>
        <v>623.79545075113515</v>
      </c>
      <c r="H191" s="18">
        <f t="shared" si="7"/>
        <v>191825.96439397213</v>
      </c>
    </row>
    <row r="192" spans="2:8" x14ac:dyDescent="0.25">
      <c r="B192" s="23">
        <f>IF(185&lt;='DSCR Calculator'!$C$8*12,185,"")</f>
        <v>185</v>
      </c>
      <c r="C192" s="24">
        <f ca="1">IF($B192="","",EDATE(TODAY(),185))</f>
        <v>51892</v>
      </c>
      <c r="D192" s="18">
        <f t="shared" si="8"/>
        <v>191825.96439397213</v>
      </c>
      <c r="E192" s="18">
        <f>IF($B192="","",MIN('DSCR Calculator'!$C$23,D192+F192))</f>
        <v>1746.4190498453543</v>
      </c>
      <c r="F192" s="18">
        <f>IF($B192="","",D192*('DSCR Calculator'!$C$7/12))</f>
        <v>1118.9847922981708</v>
      </c>
      <c r="G192" s="18">
        <f t="shared" si="6"/>
        <v>627.43425754718351</v>
      </c>
      <c r="H192" s="18">
        <f t="shared" si="7"/>
        <v>191198.53013642493</v>
      </c>
    </row>
    <row r="193" spans="2:8" x14ac:dyDescent="0.25">
      <c r="B193" s="23">
        <f>IF(186&lt;='DSCR Calculator'!$C$8*12,186,"")</f>
        <v>186</v>
      </c>
      <c r="C193" s="24">
        <f ca="1">IF($B193="","",EDATE(TODAY(),186))</f>
        <v>51923</v>
      </c>
      <c r="D193" s="18">
        <f t="shared" si="8"/>
        <v>191198.53013642493</v>
      </c>
      <c r="E193" s="18">
        <f>IF($B193="","",MIN('DSCR Calculator'!$C$23,D193+F193))</f>
        <v>1746.4190498453543</v>
      </c>
      <c r="F193" s="18">
        <f>IF($B193="","",D193*('DSCR Calculator'!$C$7/12))</f>
        <v>1115.3247591291454</v>
      </c>
      <c r="G193" s="18">
        <f t="shared" si="6"/>
        <v>631.09429071620889</v>
      </c>
      <c r="H193" s="18">
        <f t="shared" si="7"/>
        <v>190567.43584570874</v>
      </c>
    </row>
    <row r="194" spans="2:8" x14ac:dyDescent="0.25">
      <c r="B194" s="23">
        <f>IF(187&lt;='DSCR Calculator'!$C$8*12,187,"")</f>
        <v>187</v>
      </c>
      <c r="C194" s="24">
        <f ca="1">IF($B194="","",EDATE(TODAY(),187))</f>
        <v>51951</v>
      </c>
      <c r="D194" s="18">
        <f t="shared" si="8"/>
        <v>190567.43584570874</v>
      </c>
      <c r="E194" s="18">
        <f>IF($B194="","",MIN('DSCR Calculator'!$C$23,D194+F194))</f>
        <v>1746.4190498453543</v>
      </c>
      <c r="F194" s="18">
        <f>IF($B194="","",D194*('DSCR Calculator'!$C$7/12))</f>
        <v>1111.6433757666343</v>
      </c>
      <c r="G194" s="18">
        <f t="shared" si="6"/>
        <v>634.77567407871993</v>
      </c>
      <c r="H194" s="18">
        <f t="shared" si="7"/>
        <v>189932.66017163001</v>
      </c>
    </row>
    <row r="195" spans="2:8" x14ac:dyDescent="0.25">
      <c r="B195" s="23">
        <f>IF(188&lt;='DSCR Calculator'!$C$8*12,188,"")</f>
        <v>188</v>
      </c>
      <c r="C195" s="24">
        <f ca="1">IF($B195="","",EDATE(TODAY(),188))</f>
        <v>51982</v>
      </c>
      <c r="D195" s="18">
        <f t="shared" si="8"/>
        <v>189932.66017163001</v>
      </c>
      <c r="E195" s="18">
        <f>IF($B195="","",MIN('DSCR Calculator'!$C$23,D195+F195))</f>
        <v>1746.4190498453543</v>
      </c>
      <c r="F195" s="18">
        <f>IF($B195="","",D195*('DSCR Calculator'!$C$7/12))</f>
        <v>1107.9405176678417</v>
      </c>
      <c r="G195" s="18">
        <f t="shared" si="6"/>
        <v>638.47853217751253</v>
      </c>
      <c r="H195" s="18">
        <f t="shared" si="7"/>
        <v>189294.18163945249</v>
      </c>
    </row>
    <row r="196" spans="2:8" x14ac:dyDescent="0.25">
      <c r="B196" s="23">
        <f>IF(189&lt;='DSCR Calculator'!$C$8*12,189,"")</f>
        <v>189</v>
      </c>
      <c r="C196" s="24">
        <f ca="1">IF($B196="","",EDATE(TODAY(),189))</f>
        <v>52012</v>
      </c>
      <c r="D196" s="18">
        <f t="shared" si="8"/>
        <v>189294.18163945249</v>
      </c>
      <c r="E196" s="18">
        <f>IF($B196="","",MIN('DSCR Calculator'!$C$23,D196+F196))</f>
        <v>1746.4190498453543</v>
      </c>
      <c r="F196" s="18">
        <f>IF($B196="","",D196*('DSCR Calculator'!$C$7/12))</f>
        <v>1104.216059563473</v>
      </c>
      <c r="G196" s="18">
        <f t="shared" si="6"/>
        <v>642.20299028188128</v>
      </c>
      <c r="H196" s="18">
        <f t="shared" si="7"/>
        <v>188651.9786491706</v>
      </c>
    </row>
    <row r="197" spans="2:8" x14ac:dyDescent="0.25">
      <c r="B197" s="23">
        <f>IF(190&lt;='DSCR Calculator'!$C$8*12,190,"")</f>
        <v>190</v>
      </c>
      <c r="C197" s="24">
        <f ca="1">IF($B197="","",EDATE(TODAY(),190))</f>
        <v>52043</v>
      </c>
      <c r="D197" s="18">
        <f t="shared" si="8"/>
        <v>188651.9786491706</v>
      </c>
      <c r="E197" s="18">
        <f>IF($B197="","",MIN('DSCR Calculator'!$C$23,D197+F197))</f>
        <v>1746.4190498453543</v>
      </c>
      <c r="F197" s="18">
        <f>IF($B197="","",D197*('DSCR Calculator'!$C$7/12))</f>
        <v>1100.4698754534952</v>
      </c>
      <c r="G197" s="18">
        <f t="shared" si="6"/>
        <v>645.94917439185906</v>
      </c>
      <c r="H197" s="18">
        <f t="shared" si="7"/>
        <v>188006.02947477874</v>
      </c>
    </row>
    <row r="198" spans="2:8" x14ac:dyDescent="0.25">
      <c r="B198" s="23">
        <f>IF(191&lt;='DSCR Calculator'!$C$8*12,191,"")</f>
        <v>191</v>
      </c>
      <c r="C198" s="24">
        <f ca="1">IF($B198="","",EDATE(TODAY(),191))</f>
        <v>52073</v>
      </c>
      <c r="D198" s="18">
        <f t="shared" si="8"/>
        <v>188006.02947477874</v>
      </c>
      <c r="E198" s="18">
        <f>IF($B198="","",MIN('DSCR Calculator'!$C$23,D198+F198))</f>
        <v>1746.4190498453543</v>
      </c>
      <c r="F198" s="18">
        <f>IF($B198="","",D198*('DSCR Calculator'!$C$7/12))</f>
        <v>1096.701838602876</v>
      </c>
      <c r="G198" s="18">
        <f t="shared" si="6"/>
        <v>649.71721124247824</v>
      </c>
      <c r="H198" s="18">
        <f t="shared" si="7"/>
        <v>187356.31226353627</v>
      </c>
    </row>
    <row r="199" spans="2:8" x14ac:dyDescent="0.25">
      <c r="B199" s="23">
        <f>IF(192&lt;='DSCR Calculator'!$C$8*12,192,"")</f>
        <v>192</v>
      </c>
      <c r="C199" s="24">
        <f ca="1">IF($B199="","",EDATE(TODAY(),192))</f>
        <v>52104</v>
      </c>
      <c r="D199" s="18">
        <f t="shared" si="8"/>
        <v>187356.31226353627</v>
      </c>
      <c r="E199" s="18">
        <f>IF($B199="","",MIN('DSCR Calculator'!$C$23,D199+F199))</f>
        <v>1746.4190498453543</v>
      </c>
      <c r="F199" s="18">
        <f>IF($B199="","",D199*('DSCR Calculator'!$C$7/12))</f>
        <v>1092.9118215372948</v>
      </c>
      <c r="G199" s="18">
        <f t="shared" si="6"/>
        <v>653.50722830805944</v>
      </c>
      <c r="H199" s="18">
        <f t="shared" si="7"/>
        <v>186702.8050352282</v>
      </c>
    </row>
    <row r="200" spans="2:8" x14ac:dyDescent="0.25">
      <c r="B200" s="23">
        <f>IF(193&lt;='DSCR Calculator'!$C$8*12,193,"")</f>
        <v>193</v>
      </c>
      <c r="C200" s="24">
        <f ca="1">IF($B200="","",EDATE(TODAY(),193))</f>
        <v>52135</v>
      </c>
      <c r="D200" s="18">
        <f t="shared" si="8"/>
        <v>186702.8050352282</v>
      </c>
      <c r="E200" s="18">
        <f>IF($B200="","",MIN('DSCR Calculator'!$C$23,D200+F200))</f>
        <v>1746.4190498453543</v>
      </c>
      <c r="F200" s="18">
        <f>IF($B200="","",D200*('DSCR Calculator'!$C$7/12))</f>
        <v>1089.0996960388313</v>
      </c>
      <c r="G200" s="18">
        <f t="shared" ref="G200:G263" si="9">IF($B200="","",E200-F200)</f>
        <v>657.31935380652294</v>
      </c>
      <c r="H200" s="18">
        <f t="shared" ref="H200:H263" si="10">IF($B200="","",D200-G200)</f>
        <v>186045.48568142168</v>
      </c>
    </row>
    <row r="201" spans="2:8" x14ac:dyDescent="0.25">
      <c r="B201" s="23">
        <f>IF(194&lt;='DSCR Calculator'!$C$8*12,194,"")</f>
        <v>194</v>
      </c>
      <c r="C201" s="24">
        <f ca="1">IF($B201="","",EDATE(TODAY(),194))</f>
        <v>52165</v>
      </c>
      <c r="D201" s="18">
        <f t="shared" ref="D201:D264" si="11">IF($B201="","",H200)</f>
        <v>186045.48568142168</v>
      </c>
      <c r="E201" s="18">
        <f>IF($B201="","",MIN('DSCR Calculator'!$C$23,D201+F201))</f>
        <v>1746.4190498453543</v>
      </c>
      <c r="F201" s="18">
        <f>IF($B201="","",D201*('DSCR Calculator'!$C$7/12))</f>
        <v>1085.2653331416266</v>
      </c>
      <c r="G201" s="18">
        <f t="shared" si="9"/>
        <v>661.1537167037277</v>
      </c>
      <c r="H201" s="18">
        <f t="shared" si="10"/>
        <v>185384.33196471795</v>
      </c>
    </row>
    <row r="202" spans="2:8" x14ac:dyDescent="0.25">
      <c r="B202" s="23">
        <f>IF(195&lt;='DSCR Calculator'!$C$8*12,195,"")</f>
        <v>195</v>
      </c>
      <c r="C202" s="24">
        <f ca="1">IF($B202="","",EDATE(TODAY(),195))</f>
        <v>52196</v>
      </c>
      <c r="D202" s="18">
        <f t="shared" si="11"/>
        <v>185384.33196471795</v>
      </c>
      <c r="E202" s="18">
        <f>IF($B202="","",MIN('DSCR Calculator'!$C$23,D202+F202))</f>
        <v>1746.4190498453543</v>
      </c>
      <c r="F202" s="18">
        <f>IF($B202="","",D202*('DSCR Calculator'!$C$7/12))</f>
        <v>1081.4086031275215</v>
      </c>
      <c r="G202" s="18">
        <f t="shared" si="9"/>
        <v>665.01044671783279</v>
      </c>
      <c r="H202" s="18">
        <f t="shared" si="10"/>
        <v>184719.3215180001</v>
      </c>
    </row>
    <row r="203" spans="2:8" x14ac:dyDescent="0.25">
      <c r="B203" s="23">
        <f>IF(196&lt;='DSCR Calculator'!$C$8*12,196,"")</f>
        <v>196</v>
      </c>
      <c r="C203" s="24">
        <f ca="1">IF($B203="","",EDATE(TODAY(),196))</f>
        <v>52226</v>
      </c>
      <c r="D203" s="18">
        <f t="shared" si="11"/>
        <v>184719.3215180001</v>
      </c>
      <c r="E203" s="18">
        <f>IF($B203="","",MIN('DSCR Calculator'!$C$23,D203+F203))</f>
        <v>1746.4190498453543</v>
      </c>
      <c r="F203" s="18">
        <f>IF($B203="","",D203*('DSCR Calculator'!$C$7/12))</f>
        <v>1077.5293755216674</v>
      </c>
      <c r="G203" s="18">
        <f t="shared" si="9"/>
        <v>668.8896743236869</v>
      </c>
      <c r="H203" s="18">
        <f t="shared" si="10"/>
        <v>184050.4318436764</v>
      </c>
    </row>
    <row r="204" spans="2:8" x14ac:dyDescent="0.25">
      <c r="B204" s="23">
        <f>IF(197&lt;='DSCR Calculator'!$C$8*12,197,"")</f>
        <v>197</v>
      </c>
      <c r="C204" s="24">
        <f ca="1">IF($B204="","",EDATE(TODAY(),197))</f>
        <v>52257</v>
      </c>
      <c r="D204" s="18">
        <f t="shared" si="11"/>
        <v>184050.4318436764</v>
      </c>
      <c r="E204" s="18">
        <f>IF($B204="","",MIN('DSCR Calculator'!$C$23,D204+F204))</f>
        <v>1746.4190498453543</v>
      </c>
      <c r="F204" s="18">
        <f>IF($B204="","",D204*('DSCR Calculator'!$C$7/12))</f>
        <v>1073.6275190881124</v>
      </c>
      <c r="G204" s="18">
        <f t="shared" si="9"/>
        <v>672.79153075724184</v>
      </c>
      <c r="H204" s="18">
        <f t="shared" si="10"/>
        <v>183377.64031291916</v>
      </c>
    </row>
    <row r="205" spans="2:8" x14ac:dyDescent="0.25">
      <c r="B205" s="23">
        <f>IF(198&lt;='DSCR Calculator'!$C$8*12,198,"")</f>
        <v>198</v>
      </c>
      <c r="C205" s="24">
        <f ca="1">IF($B205="","",EDATE(TODAY(),198))</f>
        <v>52288</v>
      </c>
      <c r="D205" s="18">
        <f t="shared" si="11"/>
        <v>183377.64031291916</v>
      </c>
      <c r="E205" s="18">
        <f>IF($B205="","",MIN('DSCR Calculator'!$C$23,D205+F205))</f>
        <v>1746.4190498453543</v>
      </c>
      <c r="F205" s="18">
        <f>IF($B205="","",D205*('DSCR Calculator'!$C$7/12))</f>
        <v>1069.7029018253618</v>
      </c>
      <c r="G205" s="18">
        <f t="shared" si="9"/>
        <v>676.71614801999249</v>
      </c>
      <c r="H205" s="18">
        <f t="shared" si="10"/>
        <v>182700.92416489916</v>
      </c>
    </row>
    <row r="206" spans="2:8" x14ac:dyDescent="0.25">
      <c r="B206" s="23">
        <f>IF(199&lt;='DSCR Calculator'!$C$8*12,199,"")</f>
        <v>199</v>
      </c>
      <c r="C206" s="24">
        <f ca="1">IF($B206="","",EDATE(TODAY(),199))</f>
        <v>52316</v>
      </c>
      <c r="D206" s="18">
        <f t="shared" si="11"/>
        <v>182700.92416489916</v>
      </c>
      <c r="E206" s="18">
        <f>IF($B206="","",MIN('DSCR Calculator'!$C$23,D206+F206))</f>
        <v>1746.4190498453543</v>
      </c>
      <c r="F206" s="18">
        <f>IF($B206="","",D206*('DSCR Calculator'!$C$7/12))</f>
        <v>1065.7553909619119</v>
      </c>
      <c r="G206" s="18">
        <f t="shared" si="9"/>
        <v>680.66365888344239</v>
      </c>
      <c r="H206" s="18">
        <f t="shared" si="10"/>
        <v>182020.26050601571</v>
      </c>
    </row>
    <row r="207" spans="2:8" x14ac:dyDescent="0.25">
      <c r="B207" s="23">
        <f>IF(200&lt;='DSCR Calculator'!$C$8*12,200,"")</f>
        <v>200</v>
      </c>
      <c r="C207" s="24">
        <f ca="1">IF($B207="","",EDATE(TODAY(),200))</f>
        <v>52347</v>
      </c>
      <c r="D207" s="18">
        <f t="shared" si="11"/>
        <v>182020.26050601571</v>
      </c>
      <c r="E207" s="18">
        <f>IF($B207="","",MIN('DSCR Calculator'!$C$23,D207+F207))</f>
        <v>1746.4190498453543</v>
      </c>
      <c r="F207" s="18">
        <f>IF($B207="","",D207*('DSCR Calculator'!$C$7/12))</f>
        <v>1061.7848529517582</v>
      </c>
      <c r="G207" s="18">
        <f t="shared" si="9"/>
        <v>684.63419689359603</v>
      </c>
      <c r="H207" s="18">
        <f t="shared" si="10"/>
        <v>181335.6263091221</v>
      </c>
    </row>
    <row r="208" spans="2:8" x14ac:dyDescent="0.25">
      <c r="B208" s="23">
        <f>IF(201&lt;='DSCR Calculator'!$C$8*12,201,"")</f>
        <v>201</v>
      </c>
      <c r="C208" s="24">
        <f ca="1">IF($B208="","",EDATE(TODAY(),201))</f>
        <v>52377</v>
      </c>
      <c r="D208" s="18">
        <f t="shared" si="11"/>
        <v>181335.6263091221</v>
      </c>
      <c r="E208" s="18">
        <f>IF($B208="","",MIN('DSCR Calculator'!$C$23,D208+F208))</f>
        <v>1746.4190498453543</v>
      </c>
      <c r="F208" s="18">
        <f>IF($B208="","",D208*('DSCR Calculator'!$C$7/12))</f>
        <v>1057.791153469879</v>
      </c>
      <c r="G208" s="18">
        <f t="shared" si="9"/>
        <v>688.6278963754753</v>
      </c>
      <c r="H208" s="18">
        <f t="shared" si="10"/>
        <v>180646.99841274662</v>
      </c>
    </row>
    <row r="209" spans="2:8" x14ac:dyDescent="0.25">
      <c r="B209" s="23">
        <f>IF(202&lt;='DSCR Calculator'!$C$8*12,202,"")</f>
        <v>202</v>
      </c>
      <c r="C209" s="24">
        <f ca="1">IF($B209="","",EDATE(TODAY(),202))</f>
        <v>52408</v>
      </c>
      <c r="D209" s="18">
        <f t="shared" si="11"/>
        <v>180646.99841274662</v>
      </c>
      <c r="E209" s="18">
        <f>IF($B209="","",MIN('DSCR Calculator'!$C$23,D209+F209))</f>
        <v>1746.4190498453543</v>
      </c>
      <c r="F209" s="18">
        <f>IF($B209="","",D209*('DSCR Calculator'!$C$7/12))</f>
        <v>1053.7741574076886</v>
      </c>
      <c r="G209" s="18">
        <f t="shared" si="9"/>
        <v>692.6448924376657</v>
      </c>
      <c r="H209" s="18">
        <f t="shared" si="10"/>
        <v>179954.35352030894</v>
      </c>
    </row>
    <row r="210" spans="2:8" x14ac:dyDescent="0.25">
      <c r="B210" s="23">
        <f>IF(203&lt;='DSCR Calculator'!$C$8*12,203,"")</f>
        <v>203</v>
      </c>
      <c r="C210" s="24">
        <f ca="1">IF($B210="","",EDATE(TODAY(),203))</f>
        <v>52438</v>
      </c>
      <c r="D210" s="18">
        <f t="shared" si="11"/>
        <v>179954.35352030894</v>
      </c>
      <c r="E210" s="18">
        <f>IF($B210="","",MIN('DSCR Calculator'!$C$23,D210+F210))</f>
        <v>1746.4190498453543</v>
      </c>
      <c r="F210" s="18">
        <f>IF($B210="","",D210*('DSCR Calculator'!$C$7/12))</f>
        <v>1049.7337288684689</v>
      </c>
      <c r="G210" s="18">
        <f t="shared" si="9"/>
        <v>696.68532097688535</v>
      </c>
      <c r="H210" s="18">
        <f t="shared" si="10"/>
        <v>179257.66819933205</v>
      </c>
    </row>
    <row r="211" spans="2:8" x14ac:dyDescent="0.25">
      <c r="B211" s="23">
        <f>IF(204&lt;='DSCR Calculator'!$C$8*12,204,"")</f>
        <v>204</v>
      </c>
      <c r="C211" s="24">
        <f ca="1">IF($B211="","",EDATE(TODAY(),204))</f>
        <v>52469</v>
      </c>
      <c r="D211" s="18">
        <f t="shared" si="11"/>
        <v>179257.66819933205</v>
      </c>
      <c r="E211" s="18">
        <f>IF($B211="","",MIN('DSCR Calculator'!$C$23,D211+F211))</f>
        <v>1746.4190498453543</v>
      </c>
      <c r="F211" s="18">
        <f>IF($B211="","",D211*('DSCR Calculator'!$C$7/12))</f>
        <v>1045.6697311627704</v>
      </c>
      <c r="G211" s="18">
        <f t="shared" si="9"/>
        <v>700.74931868258386</v>
      </c>
      <c r="H211" s="18">
        <f t="shared" si="10"/>
        <v>178556.91888064946</v>
      </c>
    </row>
    <row r="212" spans="2:8" x14ac:dyDescent="0.25">
      <c r="B212" s="23">
        <f>IF(205&lt;='DSCR Calculator'!$C$8*12,205,"")</f>
        <v>205</v>
      </c>
      <c r="C212" s="24">
        <f ca="1">IF($B212="","",EDATE(TODAY(),205))</f>
        <v>52500</v>
      </c>
      <c r="D212" s="18">
        <f t="shared" si="11"/>
        <v>178556.91888064946</v>
      </c>
      <c r="E212" s="18">
        <f>IF($B212="","",MIN('DSCR Calculator'!$C$23,D212+F212))</f>
        <v>1746.4190498453543</v>
      </c>
      <c r="F212" s="18">
        <f>IF($B212="","",D212*('DSCR Calculator'!$C$7/12))</f>
        <v>1041.5820268037885</v>
      </c>
      <c r="G212" s="18">
        <f t="shared" si="9"/>
        <v>704.83702304156577</v>
      </c>
      <c r="H212" s="18">
        <f t="shared" si="10"/>
        <v>177852.0818576079</v>
      </c>
    </row>
    <row r="213" spans="2:8" x14ac:dyDescent="0.25">
      <c r="B213" s="23">
        <f>IF(206&lt;='DSCR Calculator'!$C$8*12,206,"")</f>
        <v>206</v>
      </c>
      <c r="C213" s="24">
        <f ca="1">IF($B213="","",EDATE(TODAY(),206))</f>
        <v>52530</v>
      </c>
      <c r="D213" s="18">
        <f t="shared" si="11"/>
        <v>177852.0818576079</v>
      </c>
      <c r="E213" s="18">
        <f>IF($B213="","",MIN('DSCR Calculator'!$C$23,D213+F213))</f>
        <v>1746.4190498453543</v>
      </c>
      <c r="F213" s="18">
        <f>IF($B213="","",D213*('DSCR Calculator'!$C$7/12))</f>
        <v>1037.4704775027128</v>
      </c>
      <c r="G213" s="18">
        <f t="shared" si="9"/>
        <v>708.94857234264146</v>
      </c>
      <c r="H213" s="18">
        <f t="shared" si="10"/>
        <v>177143.13328526527</v>
      </c>
    </row>
    <row r="214" spans="2:8" x14ac:dyDescent="0.25">
      <c r="B214" s="23">
        <f>IF(207&lt;='DSCR Calculator'!$C$8*12,207,"")</f>
        <v>207</v>
      </c>
      <c r="C214" s="24">
        <f ca="1">IF($B214="","",EDATE(TODAY(),207))</f>
        <v>52561</v>
      </c>
      <c r="D214" s="18">
        <f t="shared" si="11"/>
        <v>177143.13328526527</v>
      </c>
      <c r="E214" s="18">
        <f>IF($B214="","",MIN('DSCR Calculator'!$C$23,D214+F214))</f>
        <v>1746.4190498453543</v>
      </c>
      <c r="F214" s="18">
        <f>IF($B214="","",D214*('DSCR Calculator'!$C$7/12))</f>
        <v>1033.3349441640476</v>
      </c>
      <c r="G214" s="18">
        <f t="shared" si="9"/>
        <v>713.08410568130671</v>
      </c>
      <c r="H214" s="18">
        <f t="shared" si="10"/>
        <v>176430.04917958396</v>
      </c>
    </row>
    <row r="215" spans="2:8" x14ac:dyDescent="0.25">
      <c r="B215" s="23">
        <f>IF(208&lt;='DSCR Calculator'!$C$8*12,208,"")</f>
        <v>208</v>
      </c>
      <c r="C215" s="24">
        <f ca="1">IF($B215="","",EDATE(TODAY(),208))</f>
        <v>52591</v>
      </c>
      <c r="D215" s="18">
        <f t="shared" si="11"/>
        <v>176430.04917958396</v>
      </c>
      <c r="E215" s="18">
        <f>IF($B215="","",MIN('DSCR Calculator'!$C$23,D215+F215))</f>
        <v>1746.4190498453543</v>
      </c>
      <c r="F215" s="18">
        <f>IF($B215="","",D215*('DSCR Calculator'!$C$7/12))</f>
        <v>1029.1752868809065</v>
      </c>
      <c r="G215" s="18">
        <f t="shared" si="9"/>
        <v>717.2437629644478</v>
      </c>
      <c r="H215" s="18">
        <f t="shared" si="10"/>
        <v>175712.80541661952</v>
      </c>
    </row>
    <row r="216" spans="2:8" x14ac:dyDescent="0.25">
      <c r="B216" s="23">
        <f>IF(209&lt;='DSCR Calculator'!$C$8*12,209,"")</f>
        <v>209</v>
      </c>
      <c r="C216" s="24">
        <f ca="1">IF($B216="","",EDATE(TODAY(),209))</f>
        <v>52622</v>
      </c>
      <c r="D216" s="18">
        <f t="shared" si="11"/>
        <v>175712.80541661952</v>
      </c>
      <c r="E216" s="18">
        <f>IF($B216="","",MIN('DSCR Calculator'!$C$23,D216+F216))</f>
        <v>1746.4190498453543</v>
      </c>
      <c r="F216" s="18">
        <f>IF($B216="","",D216*('DSCR Calculator'!$C$7/12))</f>
        <v>1024.9913649302805</v>
      </c>
      <c r="G216" s="18">
        <f t="shared" si="9"/>
        <v>721.42768491507377</v>
      </c>
      <c r="H216" s="18">
        <f t="shared" si="10"/>
        <v>174991.37773170444</v>
      </c>
    </row>
    <row r="217" spans="2:8" x14ac:dyDescent="0.25">
      <c r="B217" s="23">
        <f>IF(210&lt;='DSCR Calculator'!$C$8*12,210,"")</f>
        <v>210</v>
      </c>
      <c r="C217" s="24">
        <f ca="1">IF($B217="","",EDATE(TODAY(),210))</f>
        <v>52653</v>
      </c>
      <c r="D217" s="18">
        <f t="shared" si="11"/>
        <v>174991.37773170444</v>
      </c>
      <c r="E217" s="18">
        <f>IF($B217="","",MIN('DSCR Calculator'!$C$23,D217+F217))</f>
        <v>1746.4190498453543</v>
      </c>
      <c r="F217" s="18">
        <f>IF($B217="","",D217*('DSCR Calculator'!$C$7/12))</f>
        <v>1020.783036768276</v>
      </c>
      <c r="G217" s="18">
        <f t="shared" si="9"/>
        <v>725.63601307707825</v>
      </c>
      <c r="H217" s="18">
        <f t="shared" si="10"/>
        <v>174265.74171862737</v>
      </c>
    </row>
    <row r="218" spans="2:8" x14ac:dyDescent="0.25">
      <c r="B218" s="23">
        <f>IF(211&lt;='DSCR Calculator'!$C$8*12,211,"")</f>
        <v>211</v>
      </c>
      <c r="C218" s="24">
        <f ca="1">IF($B218="","",EDATE(TODAY(),211))</f>
        <v>52682</v>
      </c>
      <c r="D218" s="18">
        <f t="shared" si="11"/>
        <v>174265.74171862737</v>
      </c>
      <c r="E218" s="18">
        <f>IF($B218="","",MIN('DSCR Calculator'!$C$23,D218+F218))</f>
        <v>1746.4190498453543</v>
      </c>
      <c r="F218" s="18">
        <f>IF($B218="","",D218*('DSCR Calculator'!$C$7/12))</f>
        <v>1016.5501600253264</v>
      </c>
      <c r="G218" s="18">
        <f t="shared" si="9"/>
        <v>729.8688898200279</v>
      </c>
      <c r="H218" s="18">
        <f t="shared" si="10"/>
        <v>173535.87282880733</v>
      </c>
    </row>
    <row r="219" spans="2:8" x14ac:dyDescent="0.25">
      <c r="B219" s="23">
        <f>IF(212&lt;='DSCR Calculator'!$C$8*12,212,"")</f>
        <v>212</v>
      </c>
      <c r="C219" s="24">
        <f ca="1">IF($B219="","",EDATE(TODAY(),212))</f>
        <v>52713</v>
      </c>
      <c r="D219" s="18">
        <f t="shared" si="11"/>
        <v>173535.87282880733</v>
      </c>
      <c r="E219" s="18">
        <f>IF($B219="","",MIN('DSCR Calculator'!$C$23,D219+F219))</f>
        <v>1746.4190498453543</v>
      </c>
      <c r="F219" s="18">
        <f>IF($B219="","",D219*('DSCR Calculator'!$C$7/12))</f>
        <v>1012.2925915013761</v>
      </c>
      <c r="G219" s="18">
        <f t="shared" si="9"/>
        <v>734.12645834397813</v>
      </c>
      <c r="H219" s="18">
        <f t="shared" si="10"/>
        <v>172801.74637046334</v>
      </c>
    </row>
    <row r="220" spans="2:8" x14ac:dyDescent="0.25">
      <c r="B220" s="23">
        <f>IF(213&lt;='DSCR Calculator'!$C$8*12,213,"")</f>
        <v>213</v>
      </c>
      <c r="C220" s="24">
        <f ca="1">IF($B220="","",EDATE(TODAY(),213))</f>
        <v>52743</v>
      </c>
      <c r="D220" s="18">
        <f t="shared" si="11"/>
        <v>172801.74637046334</v>
      </c>
      <c r="E220" s="18">
        <f>IF($B220="","",MIN('DSCR Calculator'!$C$23,D220+F220))</f>
        <v>1746.4190498453543</v>
      </c>
      <c r="F220" s="18">
        <f>IF($B220="","",D220*('DSCR Calculator'!$C$7/12))</f>
        <v>1008.0101871610362</v>
      </c>
      <c r="G220" s="18">
        <f t="shared" si="9"/>
        <v>738.40886268431802</v>
      </c>
      <c r="H220" s="18">
        <f t="shared" si="10"/>
        <v>172063.33750777901</v>
      </c>
    </row>
    <row r="221" spans="2:8" x14ac:dyDescent="0.25">
      <c r="B221" s="23">
        <f>IF(214&lt;='DSCR Calculator'!$C$8*12,214,"")</f>
        <v>214</v>
      </c>
      <c r="C221" s="24">
        <f ca="1">IF($B221="","",EDATE(TODAY(),214))</f>
        <v>52774</v>
      </c>
      <c r="D221" s="18">
        <f t="shared" si="11"/>
        <v>172063.33750777901</v>
      </c>
      <c r="E221" s="18">
        <f>IF($B221="","",MIN('DSCR Calculator'!$C$23,D221+F221))</f>
        <v>1746.4190498453543</v>
      </c>
      <c r="F221" s="18">
        <f>IF($B221="","",D221*('DSCR Calculator'!$C$7/12))</f>
        <v>1003.7028021287109</v>
      </c>
      <c r="G221" s="18">
        <f t="shared" si="9"/>
        <v>742.71624771664335</v>
      </c>
      <c r="H221" s="18">
        <f t="shared" si="10"/>
        <v>171320.62126006235</v>
      </c>
    </row>
    <row r="222" spans="2:8" x14ac:dyDescent="0.25">
      <c r="B222" s="23">
        <f>IF(215&lt;='DSCR Calculator'!$C$8*12,215,"")</f>
        <v>215</v>
      </c>
      <c r="C222" s="24">
        <f ca="1">IF($B222="","",EDATE(TODAY(),215))</f>
        <v>52804</v>
      </c>
      <c r="D222" s="18">
        <f t="shared" si="11"/>
        <v>171320.62126006235</v>
      </c>
      <c r="E222" s="18">
        <f>IF($B222="","",MIN('DSCR Calculator'!$C$23,D222+F222))</f>
        <v>1746.4190498453543</v>
      </c>
      <c r="F222" s="18">
        <f>IF($B222="","",D222*('DSCR Calculator'!$C$7/12))</f>
        <v>999.37029068369714</v>
      </c>
      <c r="G222" s="18">
        <f t="shared" si="9"/>
        <v>747.04875916165713</v>
      </c>
      <c r="H222" s="18">
        <f t="shared" si="10"/>
        <v>170573.57250090069</v>
      </c>
    </row>
    <row r="223" spans="2:8" x14ac:dyDescent="0.25">
      <c r="B223" s="23">
        <f>IF(216&lt;='DSCR Calculator'!$C$8*12,216,"")</f>
        <v>216</v>
      </c>
      <c r="C223" s="24">
        <f ca="1">IF($B223="","",EDATE(TODAY(),216))</f>
        <v>52835</v>
      </c>
      <c r="D223" s="18">
        <f t="shared" si="11"/>
        <v>170573.57250090069</v>
      </c>
      <c r="E223" s="18">
        <f>IF($B223="","",MIN('DSCR Calculator'!$C$23,D223+F223))</f>
        <v>1746.4190498453543</v>
      </c>
      <c r="F223" s="18">
        <f>IF($B223="","",D223*('DSCR Calculator'!$C$7/12))</f>
        <v>995.01250625525404</v>
      </c>
      <c r="G223" s="18">
        <f t="shared" si="9"/>
        <v>751.40654359010023</v>
      </c>
      <c r="H223" s="18">
        <f t="shared" si="10"/>
        <v>169822.16595731059</v>
      </c>
    </row>
    <row r="224" spans="2:8" x14ac:dyDescent="0.25">
      <c r="B224" s="23">
        <f>IF(217&lt;='DSCR Calculator'!$C$8*12,217,"")</f>
        <v>217</v>
      </c>
      <c r="C224" s="24">
        <f ca="1">IF($B224="","",EDATE(TODAY(),217))</f>
        <v>52866</v>
      </c>
      <c r="D224" s="18">
        <f t="shared" si="11"/>
        <v>169822.16595731059</v>
      </c>
      <c r="E224" s="18">
        <f>IF($B224="","",MIN('DSCR Calculator'!$C$23,D224+F224))</f>
        <v>1746.4190498453543</v>
      </c>
      <c r="F224" s="18">
        <f>IF($B224="","",D224*('DSCR Calculator'!$C$7/12))</f>
        <v>990.62930141764514</v>
      </c>
      <c r="G224" s="18">
        <f t="shared" si="9"/>
        <v>755.78974842770913</v>
      </c>
      <c r="H224" s="18">
        <f t="shared" si="10"/>
        <v>169066.37620888287</v>
      </c>
    </row>
    <row r="225" spans="2:8" x14ac:dyDescent="0.25">
      <c r="B225" s="23">
        <f>IF(218&lt;='DSCR Calculator'!$C$8*12,218,"")</f>
        <v>218</v>
      </c>
      <c r="C225" s="24">
        <f ca="1">IF($B225="","",EDATE(TODAY(),218))</f>
        <v>52896</v>
      </c>
      <c r="D225" s="18">
        <f t="shared" si="11"/>
        <v>169066.37620888287</v>
      </c>
      <c r="E225" s="18">
        <f>IF($B225="","",MIN('DSCR Calculator'!$C$23,D225+F225))</f>
        <v>1746.4190498453543</v>
      </c>
      <c r="F225" s="18">
        <f>IF($B225="","",D225*('DSCR Calculator'!$C$7/12))</f>
        <v>986.22052788515009</v>
      </c>
      <c r="G225" s="18">
        <f t="shared" si="9"/>
        <v>760.19852196020418</v>
      </c>
      <c r="H225" s="18">
        <f t="shared" si="10"/>
        <v>168306.17768692266</v>
      </c>
    </row>
    <row r="226" spans="2:8" x14ac:dyDescent="0.25">
      <c r="B226" s="23">
        <f>IF(219&lt;='DSCR Calculator'!$C$8*12,219,"")</f>
        <v>219</v>
      </c>
      <c r="C226" s="24">
        <f ca="1">IF($B226="","",EDATE(TODAY(),219))</f>
        <v>52927</v>
      </c>
      <c r="D226" s="18">
        <f t="shared" si="11"/>
        <v>168306.17768692266</v>
      </c>
      <c r="E226" s="18">
        <f>IF($B226="","",MIN('DSCR Calculator'!$C$23,D226+F226))</f>
        <v>1746.4190498453543</v>
      </c>
      <c r="F226" s="18">
        <f>IF($B226="","",D226*('DSCR Calculator'!$C$7/12))</f>
        <v>981.78603650704895</v>
      </c>
      <c r="G226" s="18">
        <f t="shared" si="9"/>
        <v>764.63301333830532</v>
      </c>
      <c r="H226" s="18">
        <f t="shared" si="10"/>
        <v>167541.54467358434</v>
      </c>
    </row>
    <row r="227" spans="2:8" x14ac:dyDescent="0.25">
      <c r="B227" s="23">
        <f>IF(220&lt;='DSCR Calculator'!$C$8*12,220,"")</f>
        <v>220</v>
      </c>
      <c r="C227" s="24">
        <f ca="1">IF($B227="","",EDATE(TODAY(),220))</f>
        <v>52957</v>
      </c>
      <c r="D227" s="18">
        <f t="shared" si="11"/>
        <v>167541.54467358434</v>
      </c>
      <c r="E227" s="18">
        <f>IF($B227="","",MIN('DSCR Calculator'!$C$23,D227+F227))</f>
        <v>1746.4190498453543</v>
      </c>
      <c r="F227" s="18">
        <f>IF($B227="","",D227*('DSCR Calculator'!$C$7/12))</f>
        <v>977.32567726257537</v>
      </c>
      <c r="G227" s="18">
        <f t="shared" si="9"/>
        <v>769.0933725827789</v>
      </c>
      <c r="H227" s="18">
        <f t="shared" si="10"/>
        <v>166772.45130100157</v>
      </c>
    </row>
    <row r="228" spans="2:8" x14ac:dyDescent="0.25">
      <c r="B228" s="23">
        <f>IF(221&lt;='DSCR Calculator'!$C$8*12,221,"")</f>
        <v>221</v>
      </c>
      <c r="C228" s="24">
        <f ca="1">IF($B228="","",EDATE(TODAY(),221))</f>
        <v>52988</v>
      </c>
      <c r="D228" s="18">
        <f t="shared" si="11"/>
        <v>166772.45130100157</v>
      </c>
      <c r="E228" s="18">
        <f>IF($B228="","",MIN('DSCR Calculator'!$C$23,D228+F228))</f>
        <v>1746.4190498453543</v>
      </c>
      <c r="F228" s="18">
        <f>IF($B228="","",D228*('DSCR Calculator'!$C$7/12))</f>
        <v>972.83929925584255</v>
      </c>
      <c r="G228" s="18">
        <f t="shared" si="9"/>
        <v>773.57975058951172</v>
      </c>
      <c r="H228" s="18">
        <f t="shared" si="10"/>
        <v>165998.87155041206</v>
      </c>
    </row>
    <row r="229" spans="2:8" x14ac:dyDescent="0.25">
      <c r="B229" s="23">
        <f>IF(222&lt;='DSCR Calculator'!$C$8*12,222,"")</f>
        <v>222</v>
      </c>
      <c r="C229" s="24">
        <f ca="1">IF($B229="","",EDATE(TODAY(),222))</f>
        <v>53019</v>
      </c>
      <c r="D229" s="18">
        <f t="shared" si="11"/>
        <v>165998.87155041206</v>
      </c>
      <c r="E229" s="18">
        <f>IF($B229="","",MIN('DSCR Calculator'!$C$23,D229+F229))</f>
        <v>1746.4190498453543</v>
      </c>
      <c r="F229" s="18">
        <f>IF($B229="","",D229*('DSCR Calculator'!$C$7/12))</f>
        <v>968.32675071073709</v>
      </c>
      <c r="G229" s="18">
        <f t="shared" si="9"/>
        <v>778.09229913461718</v>
      </c>
      <c r="H229" s="18">
        <f t="shared" si="10"/>
        <v>165220.77925127745</v>
      </c>
    </row>
    <row r="230" spans="2:8" x14ac:dyDescent="0.25">
      <c r="B230" s="23">
        <f>IF(223&lt;='DSCR Calculator'!$C$8*12,223,"")</f>
        <v>223</v>
      </c>
      <c r="C230" s="24">
        <f ca="1">IF($B230="","",EDATE(TODAY(),223))</f>
        <v>53047</v>
      </c>
      <c r="D230" s="18">
        <f t="shared" si="11"/>
        <v>165220.77925127745</v>
      </c>
      <c r="E230" s="18">
        <f>IF($B230="","",MIN('DSCR Calculator'!$C$23,D230+F230))</f>
        <v>1746.4190498453543</v>
      </c>
      <c r="F230" s="18">
        <f>IF($B230="","",D230*('DSCR Calculator'!$C$7/12))</f>
        <v>963.78787896578513</v>
      </c>
      <c r="G230" s="18">
        <f t="shared" si="9"/>
        <v>782.63117087956914</v>
      </c>
      <c r="H230" s="18">
        <f t="shared" si="10"/>
        <v>164438.14808039789</v>
      </c>
    </row>
    <row r="231" spans="2:8" x14ac:dyDescent="0.25">
      <c r="B231" s="23">
        <f>IF(224&lt;='DSCR Calculator'!$C$8*12,224,"")</f>
        <v>224</v>
      </c>
      <c r="C231" s="24">
        <f ca="1">IF($B231="","",EDATE(TODAY(),224))</f>
        <v>53078</v>
      </c>
      <c r="D231" s="18">
        <f t="shared" si="11"/>
        <v>164438.14808039789</v>
      </c>
      <c r="E231" s="18">
        <f>IF($B231="","",MIN('DSCR Calculator'!$C$23,D231+F231))</f>
        <v>1746.4190498453543</v>
      </c>
      <c r="F231" s="18">
        <f>IF($B231="","",D231*('DSCR Calculator'!$C$7/12))</f>
        <v>959.22253046898777</v>
      </c>
      <c r="G231" s="18">
        <f t="shared" si="9"/>
        <v>787.1965193763665</v>
      </c>
      <c r="H231" s="18">
        <f t="shared" si="10"/>
        <v>163650.95156102153</v>
      </c>
    </row>
    <row r="232" spans="2:8" x14ac:dyDescent="0.25">
      <c r="B232" s="23">
        <f>IF(225&lt;='DSCR Calculator'!$C$8*12,225,"")</f>
        <v>225</v>
      </c>
      <c r="C232" s="24">
        <f ca="1">IF($B232="","",EDATE(TODAY(),225))</f>
        <v>53108</v>
      </c>
      <c r="D232" s="18">
        <f t="shared" si="11"/>
        <v>163650.95156102153</v>
      </c>
      <c r="E232" s="18">
        <f>IF($B232="","",MIN('DSCR Calculator'!$C$23,D232+F232))</f>
        <v>1746.4190498453543</v>
      </c>
      <c r="F232" s="18">
        <f>IF($B232="","",D232*('DSCR Calculator'!$C$7/12))</f>
        <v>954.63055077262561</v>
      </c>
      <c r="G232" s="18">
        <f t="shared" si="9"/>
        <v>791.78849907272865</v>
      </c>
      <c r="H232" s="18">
        <f t="shared" si="10"/>
        <v>162859.16306194881</v>
      </c>
    </row>
    <row r="233" spans="2:8" x14ac:dyDescent="0.25">
      <c r="B233" s="23">
        <f>IF(226&lt;='DSCR Calculator'!$C$8*12,226,"")</f>
        <v>226</v>
      </c>
      <c r="C233" s="24">
        <f ca="1">IF($B233="","",EDATE(TODAY(),226))</f>
        <v>53139</v>
      </c>
      <c r="D233" s="18">
        <f t="shared" si="11"/>
        <v>162859.16306194881</v>
      </c>
      <c r="E233" s="18">
        <f>IF($B233="","",MIN('DSCR Calculator'!$C$23,D233+F233))</f>
        <v>1746.4190498453543</v>
      </c>
      <c r="F233" s="18">
        <f>IF($B233="","",D233*('DSCR Calculator'!$C$7/12))</f>
        <v>950.01178452803481</v>
      </c>
      <c r="G233" s="18">
        <f t="shared" si="9"/>
        <v>796.40726531731946</v>
      </c>
      <c r="H233" s="18">
        <f t="shared" si="10"/>
        <v>162062.75579663151</v>
      </c>
    </row>
    <row r="234" spans="2:8" x14ac:dyDescent="0.25">
      <c r="B234" s="23">
        <f>IF(227&lt;='DSCR Calculator'!$C$8*12,227,"")</f>
        <v>227</v>
      </c>
      <c r="C234" s="24">
        <f ca="1">IF($B234="","",EDATE(TODAY(),227))</f>
        <v>53169</v>
      </c>
      <c r="D234" s="18">
        <f t="shared" si="11"/>
        <v>162062.75579663151</v>
      </c>
      <c r="E234" s="18">
        <f>IF($B234="","",MIN('DSCR Calculator'!$C$23,D234+F234))</f>
        <v>1746.4190498453543</v>
      </c>
      <c r="F234" s="18">
        <f>IF($B234="","",D234*('DSCR Calculator'!$C$7/12))</f>
        <v>945.36607548035045</v>
      </c>
      <c r="G234" s="18">
        <f t="shared" si="9"/>
        <v>801.05297436500382</v>
      </c>
      <c r="H234" s="18">
        <f t="shared" si="10"/>
        <v>161261.7028222665</v>
      </c>
    </row>
    <row r="235" spans="2:8" x14ac:dyDescent="0.25">
      <c r="B235" s="23">
        <f>IF(228&lt;='DSCR Calculator'!$C$8*12,228,"")</f>
        <v>228</v>
      </c>
      <c r="C235" s="24">
        <f ca="1">IF($B235="","",EDATE(TODAY(),228))</f>
        <v>53200</v>
      </c>
      <c r="D235" s="18">
        <f t="shared" si="11"/>
        <v>161261.7028222665</v>
      </c>
      <c r="E235" s="18">
        <f>IF($B235="","",MIN('DSCR Calculator'!$C$23,D235+F235))</f>
        <v>1746.4190498453543</v>
      </c>
      <c r="F235" s="18">
        <f>IF($B235="","",D235*('DSCR Calculator'!$C$7/12))</f>
        <v>940.69326646322122</v>
      </c>
      <c r="G235" s="18">
        <f t="shared" si="9"/>
        <v>805.72578338213305</v>
      </c>
      <c r="H235" s="18">
        <f t="shared" si="10"/>
        <v>160455.97703888436</v>
      </c>
    </row>
    <row r="236" spans="2:8" x14ac:dyDescent="0.25">
      <c r="B236" s="23">
        <f>IF(229&lt;='DSCR Calculator'!$C$8*12,229,"")</f>
        <v>229</v>
      </c>
      <c r="C236" s="24">
        <f ca="1">IF($B236="","",EDATE(TODAY(),229))</f>
        <v>53231</v>
      </c>
      <c r="D236" s="18">
        <f t="shared" si="11"/>
        <v>160455.97703888436</v>
      </c>
      <c r="E236" s="18">
        <f>IF($B236="","",MIN('DSCR Calculator'!$C$23,D236+F236))</f>
        <v>1746.4190498453543</v>
      </c>
      <c r="F236" s="18">
        <f>IF($B236="","",D236*('DSCR Calculator'!$C$7/12))</f>
        <v>935.99319939349209</v>
      </c>
      <c r="G236" s="18">
        <f t="shared" si="9"/>
        <v>810.42585045186217</v>
      </c>
      <c r="H236" s="18">
        <f t="shared" si="10"/>
        <v>159645.5511884325</v>
      </c>
    </row>
    <row r="237" spans="2:8" x14ac:dyDescent="0.25">
      <c r="B237" s="23">
        <f>IF(230&lt;='DSCR Calculator'!$C$8*12,230,"")</f>
        <v>230</v>
      </c>
      <c r="C237" s="24">
        <f ca="1">IF($B237="","",EDATE(TODAY(),230))</f>
        <v>53261</v>
      </c>
      <c r="D237" s="18">
        <f t="shared" si="11"/>
        <v>159645.5511884325</v>
      </c>
      <c r="E237" s="18">
        <f>IF($B237="","",MIN('DSCR Calculator'!$C$23,D237+F237))</f>
        <v>1746.4190498453543</v>
      </c>
      <c r="F237" s="18">
        <f>IF($B237="","",D237*('DSCR Calculator'!$C$7/12))</f>
        <v>931.26571526585622</v>
      </c>
      <c r="G237" s="18">
        <f t="shared" si="9"/>
        <v>815.15333457949805</v>
      </c>
      <c r="H237" s="18">
        <f t="shared" si="10"/>
        <v>158830.39785385301</v>
      </c>
    </row>
    <row r="238" spans="2:8" x14ac:dyDescent="0.25">
      <c r="B238" s="23">
        <f>IF(231&lt;='DSCR Calculator'!$C$8*12,231,"")</f>
        <v>231</v>
      </c>
      <c r="C238" s="24">
        <f ca="1">IF($B238="","",EDATE(TODAY(),231))</f>
        <v>53292</v>
      </c>
      <c r="D238" s="18">
        <f t="shared" si="11"/>
        <v>158830.39785385301</v>
      </c>
      <c r="E238" s="18">
        <f>IF($B238="","",MIN('DSCR Calculator'!$C$23,D238+F238))</f>
        <v>1746.4190498453543</v>
      </c>
      <c r="F238" s="18">
        <f>IF($B238="","",D238*('DSCR Calculator'!$C$7/12))</f>
        <v>926.51065414747586</v>
      </c>
      <c r="G238" s="18">
        <f t="shared" si="9"/>
        <v>819.9083956978784</v>
      </c>
      <c r="H238" s="18">
        <f t="shared" si="10"/>
        <v>158010.48945815512</v>
      </c>
    </row>
    <row r="239" spans="2:8" x14ac:dyDescent="0.25">
      <c r="B239" s="23">
        <f>IF(232&lt;='DSCR Calculator'!$C$8*12,232,"")</f>
        <v>232</v>
      </c>
      <c r="C239" s="24">
        <f ca="1">IF($B239="","",EDATE(TODAY(),232))</f>
        <v>53322</v>
      </c>
      <c r="D239" s="18">
        <f t="shared" si="11"/>
        <v>158010.48945815512</v>
      </c>
      <c r="E239" s="18">
        <f>IF($B239="","",MIN('DSCR Calculator'!$C$23,D239+F239))</f>
        <v>1746.4190498453543</v>
      </c>
      <c r="F239" s="18">
        <f>IF($B239="","",D239*('DSCR Calculator'!$C$7/12))</f>
        <v>921.72785517257159</v>
      </c>
      <c r="G239" s="18">
        <f t="shared" si="9"/>
        <v>824.69119467278267</v>
      </c>
      <c r="H239" s="18">
        <f t="shared" si="10"/>
        <v>157185.79826348234</v>
      </c>
    </row>
    <row r="240" spans="2:8" x14ac:dyDescent="0.25">
      <c r="B240" s="23">
        <f>IF(233&lt;='DSCR Calculator'!$C$8*12,233,"")</f>
        <v>233</v>
      </c>
      <c r="C240" s="24">
        <f ca="1">IF($B240="","",EDATE(TODAY(),233))</f>
        <v>53353</v>
      </c>
      <c r="D240" s="18">
        <f t="shared" si="11"/>
        <v>157185.79826348234</v>
      </c>
      <c r="E240" s="18">
        <f>IF($B240="","",MIN('DSCR Calculator'!$C$23,D240+F240))</f>
        <v>1746.4190498453543</v>
      </c>
      <c r="F240" s="18">
        <f>IF($B240="","",D240*('DSCR Calculator'!$C$7/12))</f>
        <v>916.91715653698031</v>
      </c>
      <c r="G240" s="18">
        <f t="shared" si="9"/>
        <v>829.50189330837395</v>
      </c>
      <c r="H240" s="18">
        <f t="shared" si="10"/>
        <v>156356.29637017398</v>
      </c>
    </row>
    <row r="241" spans="2:8" x14ac:dyDescent="0.25">
      <c r="B241" s="23">
        <f>IF(234&lt;='DSCR Calculator'!$C$8*12,234,"")</f>
        <v>234</v>
      </c>
      <c r="C241" s="24">
        <f ca="1">IF($B241="","",EDATE(TODAY(),234))</f>
        <v>53384</v>
      </c>
      <c r="D241" s="18">
        <f t="shared" si="11"/>
        <v>156356.29637017398</v>
      </c>
      <c r="E241" s="18">
        <f>IF($B241="","",MIN('DSCR Calculator'!$C$23,D241+F241))</f>
        <v>1746.4190498453543</v>
      </c>
      <c r="F241" s="18">
        <f>IF($B241="","",D241*('DSCR Calculator'!$C$7/12))</f>
        <v>912.07839549268158</v>
      </c>
      <c r="G241" s="18">
        <f t="shared" si="9"/>
        <v>834.34065435267269</v>
      </c>
      <c r="H241" s="18">
        <f t="shared" si="10"/>
        <v>155521.9557158213</v>
      </c>
    </row>
    <row r="242" spans="2:8" x14ac:dyDescent="0.25">
      <c r="B242" s="23">
        <f>IF(235&lt;='DSCR Calculator'!$C$8*12,235,"")</f>
        <v>235</v>
      </c>
      <c r="C242" s="24">
        <f ca="1">IF($B242="","",EDATE(TODAY(),235))</f>
        <v>53412</v>
      </c>
      <c r="D242" s="18">
        <f t="shared" si="11"/>
        <v>155521.9557158213</v>
      </c>
      <c r="E242" s="18">
        <f>IF($B242="","",MIN('DSCR Calculator'!$C$23,D242+F242))</f>
        <v>1746.4190498453543</v>
      </c>
      <c r="F242" s="18">
        <f>IF($B242="","",D242*('DSCR Calculator'!$C$7/12))</f>
        <v>907.21140834229095</v>
      </c>
      <c r="G242" s="18">
        <f t="shared" si="9"/>
        <v>839.20764150306331</v>
      </c>
      <c r="H242" s="18">
        <f t="shared" si="10"/>
        <v>154682.74807431822</v>
      </c>
    </row>
    <row r="243" spans="2:8" x14ac:dyDescent="0.25">
      <c r="B243" s="23">
        <f>IF(236&lt;='DSCR Calculator'!$C$8*12,236,"")</f>
        <v>236</v>
      </c>
      <c r="C243" s="24">
        <f ca="1">IF($B243="","",EDATE(TODAY(),236))</f>
        <v>53443</v>
      </c>
      <c r="D243" s="18">
        <f t="shared" si="11"/>
        <v>154682.74807431822</v>
      </c>
      <c r="E243" s="18">
        <f>IF($B243="","",MIN('DSCR Calculator'!$C$23,D243+F243))</f>
        <v>1746.4190498453543</v>
      </c>
      <c r="F243" s="18">
        <f>IF($B243="","",D243*('DSCR Calculator'!$C$7/12))</f>
        <v>902.316030433523</v>
      </c>
      <c r="G243" s="18">
        <f t="shared" si="9"/>
        <v>844.10301941183127</v>
      </c>
      <c r="H243" s="18">
        <f t="shared" si="10"/>
        <v>153838.6450549064</v>
      </c>
    </row>
    <row r="244" spans="2:8" x14ac:dyDescent="0.25">
      <c r="B244" s="23">
        <f>IF(237&lt;='DSCR Calculator'!$C$8*12,237,"")</f>
        <v>237</v>
      </c>
      <c r="C244" s="24">
        <f ca="1">IF($B244="","",EDATE(TODAY(),237))</f>
        <v>53473</v>
      </c>
      <c r="D244" s="18">
        <f t="shared" si="11"/>
        <v>153838.6450549064</v>
      </c>
      <c r="E244" s="18">
        <f>IF($B244="","",MIN('DSCR Calculator'!$C$23,D244+F244))</f>
        <v>1746.4190498453543</v>
      </c>
      <c r="F244" s="18">
        <f>IF($B244="","",D244*('DSCR Calculator'!$C$7/12))</f>
        <v>897.39209615362074</v>
      </c>
      <c r="G244" s="18">
        <f t="shared" si="9"/>
        <v>849.02695369173352</v>
      </c>
      <c r="H244" s="18">
        <f t="shared" si="10"/>
        <v>152989.61810121467</v>
      </c>
    </row>
    <row r="245" spans="2:8" x14ac:dyDescent="0.25">
      <c r="B245" s="23">
        <f>IF(238&lt;='DSCR Calculator'!$C$8*12,238,"")</f>
        <v>238</v>
      </c>
      <c r="C245" s="24">
        <f ca="1">IF($B245="","",EDATE(TODAY(),238))</f>
        <v>53504</v>
      </c>
      <c r="D245" s="18">
        <f t="shared" si="11"/>
        <v>152989.61810121467</v>
      </c>
      <c r="E245" s="18">
        <f>IF($B245="","",MIN('DSCR Calculator'!$C$23,D245+F245))</f>
        <v>1746.4190498453543</v>
      </c>
      <c r="F245" s="18">
        <f>IF($B245="","",D245*('DSCR Calculator'!$C$7/12))</f>
        <v>892.43943892375228</v>
      </c>
      <c r="G245" s="18">
        <f t="shared" si="9"/>
        <v>853.97961092160199</v>
      </c>
      <c r="H245" s="18">
        <f t="shared" si="10"/>
        <v>152135.63849029306</v>
      </c>
    </row>
    <row r="246" spans="2:8" x14ac:dyDescent="0.25">
      <c r="B246" s="23">
        <f>IF(239&lt;='DSCR Calculator'!$C$8*12,239,"")</f>
        <v>239</v>
      </c>
      <c r="C246" s="24">
        <f ca="1">IF($B246="","",EDATE(TODAY(),239))</f>
        <v>53534</v>
      </c>
      <c r="D246" s="18">
        <f t="shared" si="11"/>
        <v>152135.63849029306</v>
      </c>
      <c r="E246" s="18">
        <f>IF($B246="","",MIN('DSCR Calculator'!$C$23,D246+F246))</f>
        <v>1746.4190498453543</v>
      </c>
      <c r="F246" s="18">
        <f>IF($B246="","",D246*('DSCR Calculator'!$C$7/12))</f>
        <v>887.45789119337621</v>
      </c>
      <c r="G246" s="18">
        <f t="shared" si="9"/>
        <v>858.96115865197805</v>
      </c>
      <c r="H246" s="18">
        <f t="shared" si="10"/>
        <v>151276.67733164108</v>
      </c>
    </row>
    <row r="247" spans="2:8" x14ac:dyDescent="0.25">
      <c r="B247" s="23">
        <f>IF(240&lt;='DSCR Calculator'!$C$8*12,240,"")</f>
        <v>240</v>
      </c>
      <c r="C247" s="24">
        <f ca="1">IF($B247="","",EDATE(TODAY(),240))</f>
        <v>53565</v>
      </c>
      <c r="D247" s="18">
        <f t="shared" si="11"/>
        <v>151276.67733164108</v>
      </c>
      <c r="E247" s="18">
        <f>IF($B247="","",MIN('DSCR Calculator'!$C$23,D247+F247))</f>
        <v>1746.4190498453543</v>
      </c>
      <c r="F247" s="18">
        <f>IF($B247="","",D247*('DSCR Calculator'!$C$7/12))</f>
        <v>882.44728443457302</v>
      </c>
      <c r="G247" s="18">
        <f t="shared" si="9"/>
        <v>863.97176541078125</v>
      </c>
      <c r="H247" s="18">
        <f t="shared" si="10"/>
        <v>150412.70556623029</v>
      </c>
    </row>
    <row r="248" spans="2:8" x14ac:dyDescent="0.25">
      <c r="B248" s="23">
        <f>IF(241&lt;='DSCR Calculator'!$C$8*12,241,"")</f>
        <v>241</v>
      </c>
      <c r="C248" s="24">
        <f ca="1">IF($B248="","",EDATE(TODAY(),241))</f>
        <v>53596</v>
      </c>
      <c r="D248" s="18">
        <f t="shared" si="11"/>
        <v>150412.70556623029</v>
      </c>
      <c r="E248" s="18">
        <f>IF($B248="","",MIN('DSCR Calculator'!$C$23,D248+F248))</f>
        <v>1746.4190498453543</v>
      </c>
      <c r="F248" s="18">
        <f>IF($B248="","",D248*('DSCR Calculator'!$C$7/12))</f>
        <v>877.40744913634342</v>
      </c>
      <c r="G248" s="18">
        <f t="shared" si="9"/>
        <v>869.01160070901085</v>
      </c>
      <c r="H248" s="18">
        <f t="shared" si="10"/>
        <v>149543.69396552129</v>
      </c>
    </row>
    <row r="249" spans="2:8" x14ac:dyDescent="0.25">
      <c r="B249" s="23">
        <f>IF(242&lt;='DSCR Calculator'!$C$8*12,242,"")</f>
        <v>242</v>
      </c>
      <c r="C249" s="24">
        <f ca="1">IF($B249="","",EDATE(TODAY(),242))</f>
        <v>53626</v>
      </c>
      <c r="D249" s="18">
        <f t="shared" si="11"/>
        <v>149543.69396552129</v>
      </c>
      <c r="E249" s="18">
        <f>IF($B249="","",MIN('DSCR Calculator'!$C$23,D249+F249))</f>
        <v>1746.4190498453543</v>
      </c>
      <c r="F249" s="18">
        <f>IF($B249="","",D249*('DSCR Calculator'!$C$7/12))</f>
        <v>872.33821479887422</v>
      </c>
      <c r="G249" s="18">
        <f t="shared" si="9"/>
        <v>874.08083504648005</v>
      </c>
      <c r="H249" s="18">
        <f t="shared" si="10"/>
        <v>148669.61313047481</v>
      </c>
    </row>
    <row r="250" spans="2:8" x14ac:dyDescent="0.25">
      <c r="B250" s="23">
        <f>IF(243&lt;='DSCR Calculator'!$C$8*12,243,"")</f>
        <v>243</v>
      </c>
      <c r="C250" s="24">
        <f ca="1">IF($B250="","",EDATE(TODAY(),243))</f>
        <v>53657</v>
      </c>
      <c r="D250" s="18">
        <f t="shared" si="11"/>
        <v>148669.61313047481</v>
      </c>
      <c r="E250" s="18">
        <f>IF($B250="","",MIN('DSCR Calculator'!$C$23,D250+F250))</f>
        <v>1746.4190498453543</v>
      </c>
      <c r="F250" s="18">
        <f>IF($B250="","",D250*('DSCR Calculator'!$C$7/12))</f>
        <v>867.23940992776977</v>
      </c>
      <c r="G250" s="18">
        <f t="shared" si="9"/>
        <v>879.1796399175845</v>
      </c>
      <c r="H250" s="18">
        <f t="shared" si="10"/>
        <v>147790.43349055722</v>
      </c>
    </row>
    <row r="251" spans="2:8" x14ac:dyDescent="0.25">
      <c r="B251" s="23">
        <f>IF(244&lt;='DSCR Calculator'!$C$8*12,244,"")</f>
        <v>244</v>
      </c>
      <c r="C251" s="24">
        <f ca="1">IF($B251="","",EDATE(TODAY(),244))</f>
        <v>53687</v>
      </c>
      <c r="D251" s="18">
        <f t="shared" si="11"/>
        <v>147790.43349055722</v>
      </c>
      <c r="E251" s="18">
        <f>IF($B251="","",MIN('DSCR Calculator'!$C$23,D251+F251))</f>
        <v>1746.4190498453543</v>
      </c>
      <c r="F251" s="18">
        <f>IF($B251="","",D251*('DSCR Calculator'!$C$7/12))</f>
        <v>862.11086202825049</v>
      </c>
      <c r="G251" s="18">
        <f t="shared" si="9"/>
        <v>884.30818781710377</v>
      </c>
      <c r="H251" s="18">
        <f t="shared" si="10"/>
        <v>146906.12530274011</v>
      </c>
    </row>
    <row r="252" spans="2:8" x14ac:dyDescent="0.25">
      <c r="B252" s="23">
        <f>IF(245&lt;='DSCR Calculator'!$C$8*12,245,"")</f>
        <v>245</v>
      </c>
      <c r="C252" s="24">
        <f ca="1">IF($B252="","",EDATE(TODAY(),245))</f>
        <v>53718</v>
      </c>
      <c r="D252" s="18">
        <f t="shared" si="11"/>
        <v>146906.12530274011</v>
      </c>
      <c r="E252" s="18">
        <f>IF($B252="","",MIN('DSCR Calculator'!$C$23,D252+F252))</f>
        <v>1746.4190498453543</v>
      </c>
      <c r="F252" s="18">
        <f>IF($B252="","",D252*('DSCR Calculator'!$C$7/12))</f>
        <v>856.95239759931735</v>
      </c>
      <c r="G252" s="18">
        <f t="shared" si="9"/>
        <v>889.46665224603692</v>
      </c>
      <c r="H252" s="18">
        <f t="shared" si="10"/>
        <v>146016.65865049406</v>
      </c>
    </row>
    <row r="253" spans="2:8" x14ac:dyDescent="0.25">
      <c r="B253" s="23">
        <f>IF(246&lt;='DSCR Calculator'!$C$8*12,246,"")</f>
        <v>246</v>
      </c>
      <c r="C253" s="24">
        <f ca="1">IF($B253="","",EDATE(TODAY(),246))</f>
        <v>53749</v>
      </c>
      <c r="D253" s="18">
        <f t="shared" si="11"/>
        <v>146016.65865049406</v>
      </c>
      <c r="E253" s="18">
        <f>IF($B253="","",MIN('DSCR Calculator'!$C$23,D253+F253))</f>
        <v>1746.4190498453543</v>
      </c>
      <c r="F253" s="18">
        <f>IF($B253="","",D253*('DSCR Calculator'!$C$7/12))</f>
        <v>851.76384212788207</v>
      </c>
      <c r="G253" s="18">
        <f t="shared" si="9"/>
        <v>894.65520771747219</v>
      </c>
      <c r="H253" s="18">
        <f t="shared" si="10"/>
        <v>145122.00344277659</v>
      </c>
    </row>
    <row r="254" spans="2:8" x14ac:dyDescent="0.25">
      <c r="B254" s="23">
        <f>IF(247&lt;='DSCR Calculator'!$C$8*12,247,"")</f>
        <v>247</v>
      </c>
      <c r="C254" s="24">
        <f ca="1">IF($B254="","",EDATE(TODAY(),247))</f>
        <v>53777</v>
      </c>
      <c r="D254" s="18">
        <f t="shared" si="11"/>
        <v>145122.00344277659</v>
      </c>
      <c r="E254" s="18">
        <f>IF($B254="","",MIN('DSCR Calculator'!$C$23,D254+F254))</f>
        <v>1746.4190498453543</v>
      </c>
      <c r="F254" s="18">
        <f>IF($B254="","",D254*('DSCR Calculator'!$C$7/12))</f>
        <v>846.54502008286352</v>
      </c>
      <c r="G254" s="18">
        <f t="shared" si="9"/>
        <v>899.87402976249075</v>
      </c>
      <c r="H254" s="18">
        <f t="shared" si="10"/>
        <v>144222.1294130141</v>
      </c>
    </row>
    <row r="255" spans="2:8" x14ac:dyDescent="0.25">
      <c r="B255" s="23">
        <f>IF(248&lt;='DSCR Calculator'!$C$8*12,248,"")</f>
        <v>248</v>
      </c>
      <c r="C255" s="24">
        <f ca="1">IF($B255="","",EDATE(TODAY(),248))</f>
        <v>53808</v>
      </c>
      <c r="D255" s="18">
        <f t="shared" si="11"/>
        <v>144222.1294130141</v>
      </c>
      <c r="E255" s="18">
        <f>IF($B255="","",MIN('DSCR Calculator'!$C$23,D255+F255))</f>
        <v>1746.4190498453543</v>
      </c>
      <c r="F255" s="18">
        <f>IF($B255="","",D255*('DSCR Calculator'!$C$7/12))</f>
        <v>841.29575490924901</v>
      </c>
      <c r="G255" s="18">
        <f t="shared" si="9"/>
        <v>905.12329493610525</v>
      </c>
      <c r="H255" s="18">
        <f t="shared" si="10"/>
        <v>143317.00611807799</v>
      </c>
    </row>
    <row r="256" spans="2:8" x14ac:dyDescent="0.25">
      <c r="B256" s="23">
        <f>IF(249&lt;='DSCR Calculator'!$C$8*12,249,"")</f>
        <v>249</v>
      </c>
      <c r="C256" s="24">
        <f ca="1">IF($B256="","",EDATE(TODAY(),249))</f>
        <v>53838</v>
      </c>
      <c r="D256" s="18">
        <f t="shared" si="11"/>
        <v>143317.00611807799</v>
      </c>
      <c r="E256" s="18">
        <f>IF($B256="","",MIN('DSCR Calculator'!$C$23,D256+F256))</f>
        <v>1746.4190498453543</v>
      </c>
      <c r="F256" s="18">
        <f>IF($B256="","",D256*('DSCR Calculator'!$C$7/12))</f>
        <v>836.01586902212159</v>
      </c>
      <c r="G256" s="18">
        <f t="shared" si="9"/>
        <v>910.40318082323267</v>
      </c>
      <c r="H256" s="18">
        <f t="shared" si="10"/>
        <v>142406.60293725476</v>
      </c>
    </row>
    <row r="257" spans="2:8" x14ac:dyDescent="0.25">
      <c r="B257" s="23">
        <f>IF(250&lt;='DSCR Calculator'!$C$8*12,250,"")</f>
        <v>250</v>
      </c>
      <c r="C257" s="24">
        <f ca="1">IF($B257="","",EDATE(TODAY(),250))</f>
        <v>53869</v>
      </c>
      <c r="D257" s="18">
        <f t="shared" si="11"/>
        <v>142406.60293725476</v>
      </c>
      <c r="E257" s="18">
        <f>IF($B257="","",MIN('DSCR Calculator'!$C$23,D257+F257))</f>
        <v>1746.4190498453543</v>
      </c>
      <c r="F257" s="18">
        <f>IF($B257="","",D257*('DSCR Calculator'!$C$7/12))</f>
        <v>830.70518380065278</v>
      </c>
      <c r="G257" s="18">
        <f t="shared" si="9"/>
        <v>915.71386604470149</v>
      </c>
      <c r="H257" s="18">
        <f t="shared" si="10"/>
        <v>141490.88907121005</v>
      </c>
    </row>
    <row r="258" spans="2:8" x14ac:dyDescent="0.25">
      <c r="B258" s="23">
        <f>IF(251&lt;='DSCR Calculator'!$C$8*12,251,"")</f>
        <v>251</v>
      </c>
      <c r="C258" s="24">
        <f ca="1">IF($B258="","",EDATE(TODAY(),251))</f>
        <v>53899</v>
      </c>
      <c r="D258" s="18">
        <f t="shared" si="11"/>
        <v>141490.88907121005</v>
      </c>
      <c r="E258" s="18">
        <f>IF($B258="","",MIN('DSCR Calculator'!$C$23,D258+F258))</f>
        <v>1746.4190498453543</v>
      </c>
      <c r="F258" s="18">
        <f>IF($B258="","",D258*('DSCR Calculator'!$C$7/12))</f>
        <v>825.36351958205864</v>
      </c>
      <c r="G258" s="18">
        <f t="shared" si="9"/>
        <v>921.05553026329562</v>
      </c>
      <c r="H258" s="18">
        <f t="shared" si="10"/>
        <v>140569.83354094677</v>
      </c>
    </row>
    <row r="259" spans="2:8" x14ac:dyDescent="0.25">
      <c r="B259" s="23">
        <f>IF(252&lt;='DSCR Calculator'!$C$8*12,252,"")</f>
        <v>252</v>
      </c>
      <c r="C259" s="24">
        <f ca="1">IF($B259="","",EDATE(TODAY(),252))</f>
        <v>53930</v>
      </c>
      <c r="D259" s="18">
        <f t="shared" si="11"/>
        <v>140569.83354094677</v>
      </c>
      <c r="E259" s="18">
        <f>IF($B259="","",MIN('DSCR Calculator'!$C$23,D259+F259))</f>
        <v>1746.4190498453543</v>
      </c>
      <c r="F259" s="18">
        <f>IF($B259="","",D259*('DSCR Calculator'!$C$7/12))</f>
        <v>819.99069565552281</v>
      </c>
      <c r="G259" s="18">
        <f t="shared" si="9"/>
        <v>926.42835418983145</v>
      </c>
      <c r="H259" s="18">
        <f t="shared" si="10"/>
        <v>139643.40518675695</v>
      </c>
    </row>
    <row r="260" spans="2:8" x14ac:dyDescent="0.25">
      <c r="B260" s="23">
        <f>IF(253&lt;='DSCR Calculator'!$C$8*12,253,"")</f>
        <v>253</v>
      </c>
      <c r="C260" s="24">
        <f ca="1">IF($B260="","",EDATE(TODAY(),253))</f>
        <v>53961</v>
      </c>
      <c r="D260" s="18">
        <f t="shared" si="11"/>
        <v>139643.40518675695</v>
      </c>
      <c r="E260" s="18">
        <f>IF($B260="","",MIN('DSCR Calculator'!$C$23,D260+F260))</f>
        <v>1746.4190498453543</v>
      </c>
      <c r="F260" s="18">
        <f>IF($B260="","",D260*('DSCR Calculator'!$C$7/12))</f>
        <v>814.58653025608226</v>
      </c>
      <c r="G260" s="18">
        <f t="shared" si="9"/>
        <v>931.83251958927201</v>
      </c>
      <c r="H260" s="18">
        <f t="shared" si="10"/>
        <v>138711.57266716767</v>
      </c>
    </row>
    <row r="261" spans="2:8" x14ac:dyDescent="0.25">
      <c r="B261" s="23">
        <f>IF(254&lt;='DSCR Calculator'!$C$8*12,254,"")</f>
        <v>254</v>
      </c>
      <c r="C261" s="24">
        <f ca="1">IF($B261="","",EDATE(TODAY(),254))</f>
        <v>53991</v>
      </c>
      <c r="D261" s="18">
        <f t="shared" si="11"/>
        <v>138711.57266716767</v>
      </c>
      <c r="E261" s="18">
        <f>IF($B261="","",MIN('DSCR Calculator'!$C$23,D261+F261))</f>
        <v>1746.4190498453543</v>
      </c>
      <c r="F261" s="18">
        <f>IF($B261="","",D261*('DSCR Calculator'!$C$7/12))</f>
        <v>809.15084055847808</v>
      </c>
      <c r="G261" s="18">
        <f t="shared" si="9"/>
        <v>937.26820928687619</v>
      </c>
      <c r="H261" s="18">
        <f t="shared" si="10"/>
        <v>137774.30445788079</v>
      </c>
    </row>
    <row r="262" spans="2:8" x14ac:dyDescent="0.25">
      <c r="B262" s="23">
        <f>IF(255&lt;='DSCR Calculator'!$C$8*12,255,"")</f>
        <v>255</v>
      </c>
      <c r="C262" s="24">
        <f ca="1">IF($B262="","",EDATE(TODAY(),255))</f>
        <v>54022</v>
      </c>
      <c r="D262" s="18">
        <f t="shared" si="11"/>
        <v>137774.30445788079</v>
      </c>
      <c r="E262" s="18">
        <f>IF($B262="","",MIN('DSCR Calculator'!$C$23,D262+F262))</f>
        <v>1746.4190498453543</v>
      </c>
      <c r="F262" s="18">
        <f>IF($B262="","",D262*('DSCR Calculator'!$C$7/12))</f>
        <v>803.68344267097132</v>
      </c>
      <c r="G262" s="18">
        <f t="shared" si="9"/>
        <v>942.73560717438295</v>
      </c>
      <c r="H262" s="18">
        <f t="shared" si="10"/>
        <v>136831.56885070642</v>
      </c>
    </row>
    <row r="263" spans="2:8" x14ac:dyDescent="0.25">
      <c r="B263" s="23">
        <f>IF(256&lt;='DSCR Calculator'!$C$8*12,256,"")</f>
        <v>256</v>
      </c>
      <c r="C263" s="24">
        <f ca="1">IF($B263="","",EDATE(TODAY(),256))</f>
        <v>54052</v>
      </c>
      <c r="D263" s="18">
        <f t="shared" si="11"/>
        <v>136831.56885070642</v>
      </c>
      <c r="E263" s="18">
        <f>IF($B263="","",MIN('DSCR Calculator'!$C$23,D263+F263))</f>
        <v>1746.4190498453543</v>
      </c>
      <c r="F263" s="18">
        <f>IF($B263="","",D263*('DSCR Calculator'!$C$7/12))</f>
        <v>798.18415162912083</v>
      </c>
      <c r="G263" s="18">
        <f t="shared" si="9"/>
        <v>948.23489821623343</v>
      </c>
      <c r="H263" s="18">
        <f t="shared" si="10"/>
        <v>135883.33395249018</v>
      </c>
    </row>
    <row r="264" spans="2:8" x14ac:dyDescent="0.25">
      <c r="B264" s="23">
        <f>IF(257&lt;='DSCR Calculator'!$C$8*12,257,"")</f>
        <v>257</v>
      </c>
      <c r="C264" s="24">
        <f ca="1">IF($B264="","",EDATE(TODAY(),257))</f>
        <v>54083</v>
      </c>
      <c r="D264" s="18">
        <f t="shared" si="11"/>
        <v>135883.33395249018</v>
      </c>
      <c r="E264" s="18">
        <f>IF($B264="","",MIN('DSCR Calculator'!$C$23,D264+F264))</f>
        <v>1746.4190498453543</v>
      </c>
      <c r="F264" s="18">
        <f>IF($B264="","",D264*('DSCR Calculator'!$C$7/12))</f>
        <v>792.65278138952613</v>
      </c>
      <c r="G264" s="18">
        <f t="shared" ref="G264:G327" si="12">IF($B264="","",E264-F264)</f>
        <v>953.76626845582814</v>
      </c>
      <c r="H264" s="18">
        <f t="shared" ref="H264:H327" si="13">IF($B264="","",D264-G264)</f>
        <v>134929.56768403435</v>
      </c>
    </row>
    <row r="265" spans="2:8" x14ac:dyDescent="0.25">
      <c r="B265" s="23">
        <f>IF(258&lt;='DSCR Calculator'!$C$8*12,258,"")</f>
        <v>258</v>
      </c>
      <c r="C265" s="24">
        <f ca="1">IF($B265="","",EDATE(TODAY(),258))</f>
        <v>54114</v>
      </c>
      <c r="D265" s="18">
        <f t="shared" ref="D265:D328" si="14">IF($B265="","",H264)</f>
        <v>134929.56768403435</v>
      </c>
      <c r="E265" s="18">
        <f>IF($B265="","",MIN('DSCR Calculator'!$C$23,D265+F265))</f>
        <v>1746.4190498453543</v>
      </c>
      <c r="F265" s="18">
        <f>IF($B265="","",D265*('DSCR Calculator'!$C$7/12))</f>
        <v>787.08914482353373</v>
      </c>
      <c r="G265" s="18">
        <f t="shared" si="12"/>
        <v>959.32990502182054</v>
      </c>
      <c r="H265" s="18">
        <f t="shared" si="13"/>
        <v>133970.23777901253</v>
      </c>
    </row>
    <row r="266" spans="2:8" x14ac:dyDescent="0.25">
      <c r="B266" s="23">
        <f>IF(259&lt;='DSCR Calculator'!$C$8*12,259,"")</f>
        <v>259</v>
      </c>
      <c r="C266" s="24">
        <f ca="1">IF($B266="","",EDATE(TODAY(),259))</f>
        <v>54143</v>
      </c>
      <c r="D266" s="18">
        <f t="shared" si="14"/>
        <v>133970.23777901253</v>
      </c>
      <c r="E266" s="18">
        <f>IF($B266="","",MIN('DSCR Calculator'!$C$23,D266+F266))</f>
        <v>1746.4190498453543</v>
      </c>
      <c r="F266" s="18">
        <f>IF($B266="","",D266*('DSCR Calculator'!$C$7/12))</f>
        <v>781.49305371090645</v>
      </c>
      <c r="G266" s="18">
        <f t="shared" si="12"/>
        <v>964.92599613444781</v>
      </c>
      <c r="H266" s="18">
        <f t="shared" si="13"/>
        <v>133005.3117828781</v>
      </c>
    </row>
    <row r="267" spans="2:8" x14ac:dyDescent="0.25">
      <c r="B267" s="23">
        <f>IF(260&lt;='DSCR Calculator'!$C$8*12,260,"")</f>
        <v>260</v>
      </c>
      <c r="C267" s="24">
        <f ca="1">IF($B267="","",EDATE(TODAY(),260))</f>
        <v>54174</v>
      </c>
      <c r="D267" s="18">
        <f t="shared" si="14"/>
        <v>133005.3117828781</v>
      </c>
      <c r="E267" s="18">
        <f>IF($B267="","",MIN('DSCR Calculator'!$C$23,D267+F267))</f>
        <v>1746.4190498453543</v>
      </c>
      <c r="F267" s="18">
        <f>IF($B267="","",D267*('DSCR Calculator'!$C$7/12))</f>
        <v>775.86431873345555</v>
      </c>
      <c r="G267" s="18">
        <f t="shared" si="12"/>
        <v>970.55473111189872</v>
      </c>
      <c r="H267" s="18">
        <f t="shared" si="13"/>
        <v>132034.75705176621</v>
      </c>
    </row>
    <row r="268" spans="2:8" x14ac:dyDescent="0.25">
      <c r="B268" s="23">
        <f>IF(261&lt;='DSCR Calculator'!$C$8*12,261,"")</f>
        <v>261</v>
      </c>
      <c r="C268" s="24">
        <f ca="1">IF($B268="","",EDATE(TODAY(),261))</f>
        <v>54204</v>
      </c>
      <c r="D268" s="18">
        <f t="shared" si="14"/>
        <v>132034.75705176621</v>
      </c>
      <c r="E268" s="18">
        <f>IF($B268="","",MIN('DSCR Calculator'!$C$23,D268+F268))</f>
        <v>1746.4190498453543</v>
      </c>
      <c r="F268" s="18">
        <f>IF($B268="","",D268*('DSCR Calculator'!$C$7/12))</f>
        <v>770.20274946863628</v>
      </c>
      <c r="G268" s="18">
        <f t="shared" si="12"/>
        <v>976.21630037671798</v>
      </c>
      <c r="H268" s="18">
        <f t="shared" si="13"/>
        <v>131058.54075138949</v>
      </c>
    </row>
    <row r="269" spans="2:8" x14ac:dyDescent="0.25">
      <c r="B269" s="23">
        <f>IF(262&lt;='DSCR Calculator'!$C$8*12,262,"")</f>
        <v>262</v>
      </c>
      <c r="C269" s="24">
        <f ca="1">IF($B269="","",EDATE(TODAY(),262))</f>
        <v>54235</v>
      </c>
      <c r="D269" s="18">
        <f t="shared" si="14"/>
        <v>131058.54075138949</v>
      </c>
      <c r="E269" s="18">
        <f>IF($B269="","",MIN('DSCR Calculator'!$C$23,D269+F269))</f>
        <v>1746.4190498453543</v>
      </c>
      <c r="F269" s="18">
        <f>IF($B269="","",D269*('DSCR Calculator'!$C$7/12))</f>
        <v>764.50815438310542</v>
      </c>
      <c r="G269" s="18">
        <f t="shared" si="12"/>
        <v>981.91089546224885</v>
      </c>
      <c r="H269" s="18">
        <f t="shared" si="13"/>
        <v>130076.62985592724</v>
      </c>
    </row>
    <row r="270" spans="2:8" x14ac:dyDescent="0.25">
      <c r="B270" s="23">
        <f>IF(263&lt;='DSCR Calculator'!$C$8*12,263,"")</f>
        <v>263</v>
      </c>
      <c r="C270" s="24">
        <f ca="1">IF($B270="","",EDATE(TODAY(),263))</f>
        <v>54265</v>
      </c>
      <c r="D270" s="18">
        <f t="shared" si="14"/>
        <v>130076.62985592724</v>
      </c>
      <c r="E270" s="18">
        <f>IF($B270="","",MIN('DSCR Calculator'!$C$23,D270+F270))</f>
        <v>1746.4190498453543</v>
      </c>
      <c r="F270" s="18">
        <f>IF($B270="","",D270*('DSCR Calculator'!$C$7/12))</f>
        <v>758.78034082624231</v>
      </c>
      <c r="G270" s="18">
        <f t="shared" si="12"/>
        <v>987.63870901911196</v>
      </c>
      <c r="H270" s="18">
        <f t="shared" si="13"/>
        <v>129088.99114690813</v>
      </c>
    </row>
    <row r="271" spans="2:8" x14ac:dyDescent="0.25">
      <c r="B271" s="23">
        <f>IF(264&lt;='DSCR Calculator'!$C$8*12,264,"")</f>
        <v>264</v>
      </c>
      <c r="C271" s="24">
        <f ca="1">IF($B271="","",EDATE(TODAY(),264))</f>
        <v>54296</v>
      </c>
      <c r="D271" s="18">
        <f t="shared" si="14"/>
        <v>129088.99114690813</v>
      </c>
      <c r="E271" s="18">
        <f>IF($B271="","",MIN('DSCR Calculator'!$C$23,D271+F271))</f>
        <v>1746.4190498453543</v>
      </c>
      <c r="F271" s="18">
        <f>IF($B271="","",D271*('DSCR Calculator'!$C$7/12))</f>
        <v>753.01911502363077</v>
      </c>
      <c r="G271" s="18">
        <f t="shared" si="12"/>
        <v>993.39993482172349</v>
      </c>
      <c r="H271" s="18">
        <f t="shared" si="13"/>
        <v>128095.59121208641</v>
      </c>
    </row>
    <row r="272" spans="2:8" x14ac:dyDescent="0.25">
      <c r="B272" s="23">
        <f>IF(265&lt;='DSCR Calculator'!$C$8*12,265,"")</f>
        <v>265</v>
      </c>
      <c r="C272" s="24">
        <f ca="1">IF($B272="","",EDATE(TODAY(),265))</f>
        <v>54327</v>
      </c>
      <c r="D272" s="18">
        <f t="shared" si="14"/>
        <v>128095.59121208641</v>
      </c>
      <c r="E272" s="18">
        <f>IF($B272="","",MIN('DSCR Calculator'!$C$23,D272+F272))</f>
        <v>1746.4190498453543</v>
      </c>
      <c r="F272" s="18">
        <f>IF($B272="","",D272*('DSCR Calculator'!$C$7/12))</f>
        <v>747.22428207050405</v>
      </c>
      <c r="G272" s="18">
        <f t="shared" si="12"/>
        <v>999.19476777485022</v>
      </c>
      <c r="H272" s="18">
        <f t="shared" si="13"/>
        <v>127096.39644431155</v>
      </c>
    </row>
    <row r="273" spans="2:8" x14ac:dyDescent="0.25">
      <c r="B273" s="23">
        <f>IF(266&lt;='DSCR Calculator'!$C$8*12,266,"")</f>
        <v>266</v>
      </c>
      <c r="C273" s="24">
        <f ca="1">IF($B273="","",EDATE(TODAY(),266))</f>
        <v>54357</v>
      </c>
      <c r="D273" s="18">
        <f t="shared" si="14"/>
        <v>127096.39644431155</v>
      </c>
      <c r="E273" s="18">
        <f>IF($B273="","",MIN('DSCR Calculator'!$C$23,D273+F273))</f>
        <v>1746.4190498453543</v>
      </c>
      <c r="F273" s="18">
        <f>IF($B273="","",D273*('DSCR Calculator'!$C$7/12))</f>
        <v>741.3956459251508</v>
      </c>
      <c r="G273" s="18">
        <f t="shared" si="12"/>
        <v>1005.0234039202035</v>
      </c>
      <c r="H273" s="18">
        <f t="shared" si="13"/>
        <v>126091.37304039135</v>
      </c>
    </row>
    <row r="274" spans="2:8" x14ac:dyDescent="0.25">
      <c r="B274" s="23">
        <f>IF(267&lt;='DSCR Calculator'!$C$8*12,267,"")</f>
        <v>267</v>
      </c>
      <c r="C274" s="24">
        <f ca="1">IF($B274="","",EDATE(TODAY(),267))</f>
        <v>54388</v>
      </c>
      <c r="D274" s="18">
        <f t="shared" si="14"/>
        <v>126091.37304039135</v>
      </c>
      <c r="E274" s="18">
        <f>IF($B274="","",MIN('DSCR Calculator'!$C$23,D274+F274))</f>
        <v>1746.4190498453543</v>
      </c>
      <c r="F274" s="18">
        <f>IF($B274="","",D274*('DSCR Calculator'!$C$7/12))</f>
        <v>735.53300940228291</v>
      </c>
      <c r="G274" s="18">
        <f t="shared" si="12"/>
        <v>1010.8860404430714</v>
      </c>
      <c r="H274" s="18">
        <f t="shared" si="13"/>
        <v>125080.48699994828</v>
      </c>
    </row>
    <row r="275" spans="2:8" x14ac:dyDescent="0.25">
      <c r="B275" s="23">
        <f>IF(268&lt;='DSCR Calculator'!$C$8*12,268,"")</f>
        <v>268</v>
      </c>
      <c r="C275" s="24">
        <f ca="1">IF($B275="","",EDATE(TODAY(),268))</f>
        <v>54418</v>
      </c>
      <c r="D275" s="18">
        <f t="shared" si="14"/>
        <v>125080.48699994828</v>
      </c>
      <c r="E275" s="18">
        <f>IF($B275="","",MIN('DSCR Calculator'!$C$23,D275+F275))</f>
        <v>1746.4190498453543</v>
      </c>
      <c r="F275" s="18">
        <f>IF($B275="","",D275*('DSCR Calculator'!$C$7/12))</f>
        <v>729.63617416636498</v>
      </c>
      <c r="G275" s="18">
        <f t="shared" si="12"/>
        <v>1016.7828756789893</v>
      </c>
      <c r="H275" s="18">
        <f t="shared" si="13"/>
        <v>124063.70412426929</v>
      </c>
    </row>
    <row r="276" spans="2:8" x14ac:dyDescent="0.25">
      <c r="B276" s="23">
        <f>IF(269&lt;='DSCR Calculator'!$C$8*12,269,"")</f>
        <v>269</v>
      </c>
      <c r="C276" s="24">
        <f ca="1">IF($B276="","",EDATE(TODAY(),269))</f>
        <v>54449</v>
      </c>
      <c r="D276" s="18">
        <f t="shared" si="14"/>
        <v>124063.70412426929</v>
      </c>
      <c r="E276" s="18">
        <f>IF($B276="","",MIN('DSCR Calculator'!$C$23,D276+F276))</f>
        <v>1746.4190498453543</v>
      </c>
      <c r="F276" s="18">
        <f>IF($B276="","",D276*('DSCR Calculator'!$C$7/12))</f>
        <v>723.7049407249043</v>
      </c>
      <c r="G276" s="18">
        <f t="shared" si="12"/>
        <v>1022.71410912045</v>
      </c>
      <c r="H276" s="18">
        <f t="shared" si="13"/>
        <v>123040.99001514884</v>
      </c>
    </row>
    <row r="277" spans="2:8" x14ac:dyDescent="0.25">
      <c r="B277" s="23">
        <f>IF(270&lt;='DSCR Calculator'!$C$8*12,270,"")</f>
        <v>270</v>
      </c>
      <c r="C277" s="24">
        <f ca="1">IF($B277="","",EDATE(TODAY(),270))</f>
        <v>54480</v>
      </c>
      <c r="D277" s="18">
        <f t="shared" si="14"/>
        <v>123040.99001514884</v>
      </c>
      <c r="E277" s="18">
        <f>IF($B277="","",MIN('DSCR Calculator'!$C$23,D277+F277))</f>
        <v>1746.4190498453543</v>
      </c>
      <c r="F277" s="18">
        <f>IF($B277="","",D277*('DSCR Calculator'!$C$7/12))</f>
        <v>717.73910842170164</v>
      </c>
      <c r="G277" s="18">
        <f t="shared" si="12"/>
        <v>1028.6799414236525</v>
      </c>
      <c r="H277" s="18">
        <f t="shared" si="13"/>
        <v>122012.31007372518</v>
      </c>
    </row>
    <row r="278" spans="2:8" x14ac:dyDescent="0.25">
      <c r="B278" s="23">
        <f>IF(271&lt;='DSCR Calculator'!$C$8*12,271,"")</f>
        <v>271</v>
      </c>
      <c r="C278" s="24">
        <f ca="1">IF($B278="","",EDATE(TODAY(),271))</f>
        <v>54508</v>
      </c>
      <c r="D278" s="18">
        <f t="shared" si="14"/>
        <v>122012.31007372518</v>
      </c>
      <c r="E278" s="18">
        <f>IF($B278="","",MIN('DSCR Calculator'!$C$23,D278+F278))</f>
        <v>1746.4190498453543</v>
      </c>
      <c r="F278" s="18">
        <f>IF($B278="","",D278*('DSCR Calculator'!$C$7/12))</f>
        <v>711.73847543006354</v>
      </c>
      <c r="G278" s="18">
        <f t="shared" si="12"/>
        <v>1034.6805744152907</v>
      </c>
      <c r="H278" s="18">
        <f t="shared" si="13"/>
        <v>120977.62949930989</v>
      </c>
    </row>
    <row r="279" spans="2:8" x14ac:dyDescent="0.25">
      <c r="B279" s="23">
        <f>IF(272&lt;='DSCR Calculator'!$C$8*12,272,"")</f>
        <v>272</v>
      </c>
      <c r="C279" s="24">
        <f ca="1">IF($B279="","",EDATE(TODAY(),272))</f>
        <v>54539</v>
      </c>
      <c r="D279" s="18">
        <f t="shared" si="14"/>
        <v>120977.62949930989</v>
      </c>
      <c r="E279" s="18">
        <f>IF($B279="","",MIN('DSCR Calculator'!$C$23,D279+F279))</f>
        <v>1746.4190498453543</v>
      </c>
      <c r="F279" s="18">
        <f>IF($B279="","",D279*('DSCR Calculator'!$C$7/12))</f>
        <v>705.70283874597442</v>
      </c>
      <c r="G279" s="18">
        <f t="shared" si="12"/>
        <v>1040.71621109938</v>
      </c>
      <c r="H279" s="18">
        <f t="shared" si="13"/>
        <v>119936.9132882105</v>
      </c>
    </row>
    <row r="280" spans="2:8" x14ac:dyDescent="0.25">
      <c r="B280" s="23">
        <f>IF(273&lt;='DSCR Calculator'!$C$8*12,273,"")</f>
        <v>273</v>
      </c>
      <c r="C280" s="24">
        <f ca="1">IF($B280="","",EDATE(TODAY(),273))</f>
        <v>54569</v>
      </c>
      <c r="D280" s="18">
        <f t="shared" si="14"/>
        <v>119936.9132882105</v>
      </c>
      <c r="E280" s="18">
        <f>IF($B280="","",MIN('DSCR Calculator'!$C$23,D280+F280))</f>
        <v>1746.4190498453543</v>
      </c>
      <c r="F280" s="18">
        <f>IF($B280="","",D280*('DSCR Calculator'!$C$7/12))</f>
        <v>699.63199418122792</v>
      </c>
      <c r="G280" s="18">
        <f t="shared" si="12"/>
        <v>1046.7870556641265</v>
      </c>
      <c r="H280" s="18">
        <f t="shared" si="13"/>
        <v>118890.12623254638</v>
      </c>
    </row>
    <row r="281" spans="2:8" x14ac:dyDescent="0.25">
      <c r="B281" s="23">
        <f>IF(274&lt;='DSCR Calculator'!$C$8*12,274,"")</f>
        <v>274</v>
      </c>
      <c r="C281" s="24">
        <f ca="1">IF($B281="","",EDATE(TODAY(),274))</f>
        <v>54600</v>
      </c>
      <c r="D281" s="18">
        <f t="shared" si="14"/>
        <v>118890.12623254638</v>
      </c>
      <c r="E281" s="18">
        <f>IF($B281="","",MIN('DSCR Calculator'!$C$23,D281+F281))</f>
        <v>1746.4190498453543</v>
      </c>
      <c r="F281" s="18">
        <f>IF($B281="","",D281*('DSCR Calculator'!$C$7/12))</f>
        <v>693.52573635652061</v>
      </c>
      <c r="G281" s="18">
        <f t="shared" si="12"/>
        <v>1052.8933134888337</v>
      </c>
      <c r="H281" s="18">
        <f t="shared" si="13"/>
        <v>117837.23291905754</v>
      </c>
    </row>
    <row r="282" spans="2:8" x14ac:dyDescent="0.25">
      <c r="B282" s="23">
        <f>IF(275&lt;='DSCR Calculator'!$C$8*12,275,"")</f>
        <v>275</v>
      </c>
      <c r="C282" s="24">
        <f ca="1">IF($B282="","",EDATE(TODAY(),275))</f>
        <v>54630</v>
      </c>
      <c r="D282" s="18">
        <f t="shared" si="14"/>
        <v>117837.23291905754</v>
      </c>
      <c r="E282" s="18">
        <f>IF($B282="","",MIN('DSCR Calculator'!$C$23,D282+F282))</f>
        <v>1746.4190498453543</v>
      </c>
      <c r="F282" s="18">
        <f>IF($B282="","",D282*('DSCR Calculator'!$C$7/12))</f>
        <v>687.38385869450235</v>
      </c>
      <c r="G282" s="18">
        <f t="shared" si="12"/>
        <v>1059.0351911508519</v>
      </c>
      <c r="H282" s="18">
        <f t="shared" si="13"/>
        <v>116778.19772790669</v>
      </c>
    </row>
    <row r="283" spans="2:8" x14ac:dyDescent="0.25">
      <c r="B283" s="23">
        <f>IF(276&lt;='DSCR Calculator'!$C$8*12,276,"")</f>
        <v>276</v>
      </c>
      <c r="C283" s="24">
        <f ca="1">IF($B283="","",EDATE(TODAY(),276))</f>
        <v>54661</v>
      </c>
      <c r="D283" s="18">
        <f t="shared" si="14"/>
        <v>116778.19772790669</v>
      </c>
      <c r="E283" s="18">
        <f>IF($B283="","",MIN('DSCR Calculator'!$C$23,D283+F283))</f>
        <v>1746.4190498453543</v>
      </c>
      <c r="F283" s="18">
        <f>IF($B283="","",D283*('DSCR Calculator'!$C$7/12))</f>
        <v>681.20615341278904</v>
      </c>
      <c r="G283" s="18">
        <f t="shared" si="12"/>
        <v>1065.2128964325652</v>
      </c>
      <c r="H283" s="18">
        <f t="shared" si="13"/>
        <v>115712.98483147412</v>
      </c>
    </row>
    <row r="284" spans="2:8" x14ac:dyDescent="0.25">
      <c r="B284" s="23">
        <f>IF(277&lt;='DSCR Calculator'!$C$8*12,277,"")</f>
        <v>277</v>
      </c>
      <c r="C284" s="24">
        <f ca="1">IF($B284="","",EDATE(TODAY(),277))</f>
        <v>54692</v>
      </c>
      <c r="D284" s="18">
        <f t="shared" si="14"/>
        <v>115712.98483147412</v>
      </c>
      <c r="E284" s="18">
        <f>IF($B284="","",MIN('DSCR Calculator'!$C$23,D284+F284))</f>
        <v>1746.4190498453543</v>
      </c>
      <c r="F284" s="18">
        <f>IF($B284="","",D284*('DSCR Calculator'!$C$7/12))</f>
        <v>674.99241151693241</v>
      </c>
      <c r="G284" s="18">
        <f t="shared" si="12"/>
        <v>1071.4266383284219</v>
      </c>
      <c r="H284" s="18">
        <f t="shared" si="13"/>
        <v>114641.5581931457</v>
      </c>
    </row>
    <row r="285" spans="2:8" x14ac:dyDescent="0.25">
      <c r="B285" s="23">
        <f>IF(278&lt;='DSCR Calculator'!$C$8*12,278,"")</f>
        <v>278</v>
      </c>
      <c r="C285" s="24">
        <f ca="1">IF($B285="","",EDATE(TODAY(),278))</f>
        <v>54722</v>
      </c>
      <c r="D285" s="18">
        <f t="shared" si="14"/>
        <v>114641.5581931457</v>
      </c>
      <c r="E285" s="18">
        <f>IF($B285="","",MIN('DSCR Calculator'!$C$23,D285+F285))</f>
        <v>1746.4190498453543</v>
      </c>
      <c r="F285" s="18">
        <f>IF($B285="","",D285*('DSCR Calculator'!$C$7/12))</f>
        <v>668.74242279334999</v>
      </c>
      <c r="G285" s="18">
        <f t="shared" si="12"/>
        <v>1077.6766270520043</v>
      </c>
      <c r="H285" s="18">
        <f t="shared" si="13"/>
        <v>113563.8815660937</v>
      </c>
    </row>
    <row r="286" spans="2:8" x14ac:dyDescent="0.25">
      <c r="B286" s="23">
        <f>IF(279&lt;='DSCR Calculator'!$C$8*12,279,"")</f>
        <v>279</v>
      </c>
      <c r="C286" s="24">
        <f ca="1">IF($B286="","",EDATE(TODAY(),279))</f>
        <v>54753</v>
      </c>
      <c r="D286" s="18">
        <f t="shared" si="14"/>
        <v>113563.8815660937</v>
      </c>
      <c r="E286" s="18">
        <f>IF($B286="","",MIN('DSCR Calculator'!$C$23,D286+F286))</f>
        <v>1746.4190498453543</v>
      </c>
      <c r="F286" s="18">
        <f>IF($B286="","",D286*('DSCR Calculator'!$C$7/12))</f>
        <v>662.45597580221329</v>
      </c>
      <c r="G286" s="18">
        <f t="shared" si="12"/>
        <v>1083.963074043141</v>
      </c>
      <c r="H286" s="18">
        <f t="shared" si="13"/>
        <v>112479.91849205055</v>
      </c>
    </row>
    <row r="287" spans="2:8" x14ac:dyDescent="0.25">
      <c r="B287" s="23">
        <f>IF(280&lt;='DSCR Calculator'!$C$8*12,280,"")</f>
        <v>280</v>
      </c>
      <c r="C287" s="24">
        <f ca="1">IF($B287="","",EDATE(TODAY(),280))</f>
        <v>54783</v>
      </c>
      <c r="D287" s="18">
        <f t="shared" si="14"/>
        <v>112479.91849205055</v>
      </c>
      <c r="E287" s="18">
        <f>IF($B287="","",MIN('DSCR Calculator'!$C$23,D287+F287))</f>
        <v>1746.4190498453543</v>
      </c>
      <c r="F287" s="18">
        <f>IF($B287="","",D287*('DSCR Calculator'!$C$7/12))</f>
        <v>656.13285787029486</v>
      </c>
      <c r="G287" s="18">
        <f t="shared" si="12"/>
        <v>1090.2861919750594</v>
      </c>
      <c r="H287" s="18">
        <f t="shared" si="13"/>
        <v>111389.63230007549</v>
      </c>
    </row>
    <row r="288" spans="2:8" x14ac:dyDescent="0.25">
      <c r="B288" s="23">
        <f>IF(281&lt;='DSCR Calculator'!$C$8*12,281,"")</f>
        <v>281</v>
      </c>
      <c r="C288" s="24">
        <f ca="1">IF($B288="","",EDATE(TODAY(),281))</f>
        <v>54814</v>
      </c>
      <c r="D288" s="18">
        <f t="shared" si="14"/>
        <v>111389.63230007549</v>
      </c>
      <c r="E288" s="18">
        <f>IF($B288="","",MIN('DSCR Calculator'!$C$23,D288+F288))</f>
        <v>1746.4190498453543</v>
      </c>
      <c r="F288" s="18">
        <f>IF($B288="","",D288*('DSCR Calculator'!$C$7/12))</f>
        <v>649.77285508377372</v>
      </c>
      <c r="G288" s="18">
        <f t="shared" si="12"/>
        <v>1096.6461947615805</v>
      </c>
      <c r="H288" s="18">
        <f t="shared" si="13"/>
        <v>110292.98610531392</v>
      </c>
    </row>
    <row r="289" spans="2:8" x14ac:dyDescent="0.25">
      <c r="B289" s="23">
        <f>IF(282&lt;='DSCR Calculator'!$C$8*12,282,"")</f>
        <v>282</v>
      </c>
      <c r="C289" s="24">
        <f ca="1">IF($B289="","",EDATE(TODAY(),282))</f>
        <v>54845</v>
      </c>
      <c r="D289" s="18">
        <f t="shared" si="14"/>
        <v>110292.98610531392</v>
      </c>
      <c r="E289" s="18">
        <f>IF($B289="","",MIN('DSCR Calculator'!$C$23,D289+F289))</f>
        <v>1746.4190498453543</v>
      </c>
      <c r="F289" s="18">
        <f>IF($B289="","",D289*('DSCR Calculator'!$C$7/12))</f>
        <v>643.37575228099786</v>
      </c>
      <c r="G289" s="18">
        <f t="shared" si="12"/>
        <v>1103.0432975643564</v>
      </c>
      <c r="H289" s="18">
        <f t="shared" si="13"/>
        <v>109189.94280774955</v>
      </c>
    </row>
    <row r="290" spans="2:8" x14ac:dyDescent="0.25">
      <c r="B290" s="23">
        <f>IF(283&lt;='DSCR Calculator'!$C$8*12,283,"")</f>
        <v>283</v>
      </c>
      <c r="C290" s="24">
        <f ca="1">IF($B290="","",EDATE(TODAY(),283))</f>
        <v>54873</v>
      </c>
      <c r="D290" s="18">
        <f t="shared" si="14"/>
        <v>109189.94280774955</v>
      </c>
      <c r="E290" s="18">
        <f>IF($B290="","",MIN('DSCR Calculator'!$C$23,D290+F290))</f>
        <v>1746.4190498453543</v>
      </c>
      <c r="F290" s="18">
        <f>IF($B290="","",D290*('DSCR Calculator'!$C$7/12))</f>
        <v>636.94133304520574</v>
      </c>
      <c r="G290" s="18">
        <f t="shared" si="12"/>
        <v>1109.4777168001485</v>
      </c>
      <c r="H290" s="18">
        <f t="shared" si="13"/>
        <v>108080.46509094941</v>
      </c>
    </row>
    <row r="291" spans="2:8" x14ac:dyDescent="0.25">
      <c r="B291" s="23">
        <f>IF(284&lt;='DSCR Calculator'!$C$8*12,284,"")</f>
        <v>284</v>
      </c>
      <c r="C291" s="24">
        <f ca="1">IF($B291="","",EDATE(TODAY(),284))</f>
        <v>54904</v>
      </c>
      <c r="D291" s="18">
        <f t="shared" si="14"/>
        <v>108080.46509094941</v>
      </c>
      <c r="E291" s="18">
        <f>IF($B291="","",MIN('DSCR Calculator'!$C$23,D291+F291))</f>
        <v>1746.4190498453543</v>
      </c>
      <c r="F291" s="18">
        <f>IF($B291="","",D291*('DSCR Calculator'!$C$7/12))</f>
        <v>630.46937969720489</v>
      </c>
      <c r="G291" s="18">
        <f t="shared" si="12"/>
        <v>1115.9496701481494</v>
      </c>
      <c r="H291" s="18">
        <f t="shared" si="13"/>
        <v>106964.51542080125</v>
      </c>
    </row>
    <row r="292" spans="2:8" x14ac:dyDescent="0.25">
      <c r="B292" s="23">
        <f>IF(285&lt;='DSCR Calculator'!$C$8*12,285,"")</f>
        <v>285</v>
      </c>
      <c r="C292" s="24">
        <f ca="1">IF($B292="","",EDATE(TODAY(),285))</f>
        <v>54934</v>
      </c>
      <c r="D292" s="18">
        <f t="shared" si="14"/>
        <v>106964.51542080125</v>
      </c>
      <c r="E292" s="18">
        <f>IF($B292="","",MIN('DSCR Calculator'!$C$23,D292+F292))</f>
        <v>1746.4190498453543</v>
      </c>
      <c r="F292" s="18">
        <f>IF($B292="","",D292*('DSCR Calculator'!$C$7/12))</f>
        <v>623.95967328800737</v>
      </c>
      <c r="G292" s="18">
        <f t="shared" si="12"/>
        <v>1122.4593765573468</v>
      </c>
      <c r="H292" s="18">
        <f t="shared" si="13"/>
        <v>105842.0560442439</v>
      </c>
    </row>
    <row r="293" spans="2:8" x14ac:dyDescent="0.25">
      <c r="B293" s="23">
        <f>IF(286&lt;='DSCR Calculator'!$C$8*12,286,"")</f>
        <v>286</v>
      </c>
      <c r="C293" s="24">
        <f ca="1">IF($B293="","",EDATE(TODAY(),286))</f>
        <v>54965</v>
      </c>
      <c r="D293" s="18">
        <f t="shared" si="14"/>
        <v>105842.0560442439</v>
      </c>
      <c r="E293" s="18">
        <f>IF($B293="","",MIN('DSCR Calculator'!$C$23,D293+F293))</f>
        <v>1746.4190498453543</v>
      </c>
      <c r="F293" s="18">
        <f>IF($B293="","",D293*('DSCR Calculator'!$C$7/12))</f>
        <v>617.41199359142274</v>
      </c>
      <c r="G293" s="18">
        <f t="shared" si="12"/>
        <v>1129.0070562539315</v>
      </c>
      <c r="H293" s="18">
        <f t="shared" si="13"/>
        <v>104713.04898798997</v>
      </c>
    </row>
    <row r="294" spans="2:8" x14ac:dyDescent="0.25">
      <c r="B294" s="23">
        <f>IF(287&lt;='DSCR Calculator'!$C$8*12,287,"")</f>
        <v>287</v>
      </c>
      <c r="C294" s="24">
        <f ca="1">IF($B294="","",EDATE(TODAY(),287))</f>
        <v>54995</v>
      </c>
      <c r="D294" s="18">
        <f t="shared" si="14"/>
        <v>104713.04898798997</v>
      </c>
      <c r="E294" s="18">
        <f>IF($B294="","",MIN('DSCR Calculator'!$C$23,D294+F294))</f>
        <v>1746.4190498453543</v>
      </c>
      <c r="F294" s="18">
        <f>IF($B294="","",D294*('DSCR Calculator'!$C$7/12))</f>
        <v>610.82611909660818</v>
      </c>
      <c r="G294" s="18">
        <f t="shared" si="12"/>
        <v>1135.5929307487461</v>
      </c>
      <c r="H294" s="18">
        <f t="shared" si="13"/>
        <v>103577.45605724122</v>
      </c>
    </row>
    <row r="295" spans="2:8" x14ac:dyDescent="0.25">
      <c r="B295" s="23">
        <f>IF(288&lt;='DSCR Calculator'!$C$8*12,288,"")</f>
        <v>288</v>
      </c>
      <c r="C295" s="24">
        <f ca="1">IF($B295="","",EDATE(TODAY(),288))</f>
        <v>55026</v>
      </c>
      <c r="D295" s="18">
        <f t="shared" si="14"/>
        <v>103577.45605724122</v>
      </c>
      <c r="E295" s="18">
        <f>IF($B295="","",MIN('DSCR Calculator'!$C$23,D295+F295))</f>
        <v>1746.4190498453543</v>
      </c>
      <c r="F295" s="18">
        <f>IF($B295="","",D295*('DSCR Calculator'!$C$7/12))</f>
        <v>604.20182700057376</v>
      </c>
      <c r="G295" s="18">
        <f t="shared" si="12"/>
        <v>1142.2172228447805</v>
      </c>
      <c r="H295" s="18">
        <f t="shared" si="13"/>
        <v>102435.23883439644</v>
      </c>
    </row>
    <row r="296" spans="2:8" x14ac:dyDescent="0.25">
      <c r="B296" s="23">
        <f>IF(289&lt;='DSCR Calculator'!$C$8*12,289,"")</f>
        <v>289</v>
      </c>
      <c r="C296" s="24">
        <f ca="1">IF($B296="","",EDATE(TODAY(),289))</f>
        <v>55057</v>
      </c>
      <c r="D296" s="18">
        <f t="shared" si="14"/>
        <v>102435.23883439644</v>
      </c>
      <c r="E296" s="18">
        <f>IF($B296="","",MIN('DSCR Calculator'!$C$23,D296+F296))</f>
        <v>1746.4190498453543</v>
      </c>
      <c r="F296" s="18">
        <f>IF($B296="","",D296*('DSCR Calculator'!$C$7/12))</f>
        <v>597.53889320064593</v>
      </c>
      <c r="G296" s="18">
        <f t="shared" si="12"/>
        <v>1148.8801566447082</v>
      </c>
      <c r="H296" s="18">
        <f t="shared" si="13"/>
        <v>101286.35867775173</v>
      </c>
    </row>
    <row r="297" spans="2:8" x14ac:dyDescent="0.25">
      <c r="B297" s="23">
        <f>IF(290&lt;='DSCR Calculator'!$C$8*12,290,"")</f>
        <v>290</v>
      </c>
      <c r="C297" s="24">
        <f ca="1">IF($B297="","",EDATE(TODAY(),290))</f>
        <v>55087</v>
      </c>
      <c r="D297" s="18">
        <f t="shared" si="14"/>
        <v>101286.35867775173</v>
      </c>
      <c r="E297" s="18">
        <f>IF($B297="","",MIN('DSCR Calculator'!$C$23,D297+F297))</f>
        <v>1746.4190498453543</v>
      </c>
      <c r="F297" s="18">
        <f>IF($B297="","",D297*('DSCR Calculator'!$C$7/12))</f>
        <v>590.83709228688519</v>
      </c>
      <c r="G297" s="18">
        <f t="shared" si="12"/>
        <v>1155.5819575584692</v>
      </c>
      <c r="H297" s="18">
        <f t="shared" si="13"/>
        <v>100130.77672019326</v>
      </c>
    </row>
    <row r="298" spans="2:8" x14ac:dyDescent="0.25">
      <c r="B298" s="23">
        <f>IF(291&lt;='DSCR Calculator'!$C$8*12,291,"")</f>
        <v>291</v>
      </c>
      <c r="C298" s="24">
        <f ca="1">IF($B298="","",EDATE(TODAY(),291))</f>
        <v>55118</v>
      </c>
      <c r="D298" s="18">
        <f t="shared" si="14"/>
        <v>100130.77672019326</v>
      </c>
      <c r="E298" s="18">
        <f>IF($B298="","",MIN('DSCR Calculator'!$C$23,D298+F298))</f>
        <v>1746.4190498453543</v>
      </c>
      <c r="F298" s="18">
        <f>IF($B298="","",D298*('DSCR Calculator'!$C$7/12))</f>
        <v>584.09619753446066</v>
      </c>
      <c r="G298" s="18">
        <f t="shared" si="12"/>
        <v>1162.3228523108937</v>
      </c>
      <c r="H298" s="18">
        <f t="shared" si="13"/>
        <v>98968.453867882359</v>
      </c>
    </row>
    <row r="299" spans="2:8" x14ac:dyDescent="0.25">
      <c r="B299" s="23">
        <f>IF(292&lt;='DSCR Calculator'!$C$8*12,292,"")</f>
        <v>292</v>
      </c>
      <c r="C299" s="24">
        <f ca="1">IF($B299="","",EDATE(TODAY(),292))</f>
        <v>55148</v>
      </c>
      <c r="D299" s="18">
        <f t="shared" si="14"/>
        <v>98968.453867882359</v>
      </c>
      <c r="E299" s="18">
        <f>IF($B299="","",MIN('DSCR Calculator'!$C$23,D299+F299))</f>
        <v>1746.4190498453543</v>
      </c>
      <c r="F299" s="18">
        <f>IF($B299="","",D299*('DSCR Calculator'!$C$7/12))</f>
        <v>577.31598089598049</v>
      </c>
      <c r="G299" s="18">
        <f t="shared" si="12"/>
        <v>1169.1030689493737</v>
      </c>
      <c r="H299" s="18">
        <f t="shared" si="13"/>
        <v>97799.350798932981</v>
      </c>
    </row>
    <row r="300" spans="2:8" x14ac:dyDescent="0.25">
      <c r="B300" s="23">
        <f>IF(293&lt;='DSCR Calculator'!$C$8*12,293,"")</f>
        <v>293</v>
      </c>
      <c r="C300" s="24">
        <f ca="1">IF($B300="","",EDATE(TODAY(),293))</f>
        <v>55179</v>
      </c>
      <c r="D300" s="18">
        <f t="shared" si="14"/>
        <v>97799.350798932981</v>
      </c>
      <c r="E300" s="18">
        <f>IF($B300="","",MIN('DSCR Calculator'!$C$23,D300+F300))</f>
        <v>1746.4190498453543</v>
      </c>
      <c r="F300" s="18">
        <f>IF($B300="","",D300*('DSCR Calculator'!$C$7/12))</f>
        <v>570.49621299377577</v>
      </c>
      <c r="G300" s="18">
        <f t="shared" si="12"/>
        <v>1175.9228368515785</v>
      </c>
      <c r="H300" s="18">
        <f t="shared" si="13"/>
        <v>96623.427962081405</v>
      </c>
    </row>
    <row r="301" spans="2:8" x14ac:dyDescent="0.25">
      <c r="B301" s="23">
        <f>IF(294&lt;='DSCR Calculator'!$C$8*12,294,"")</f>
        <v>294</v>
      </c>
      <c r="C301" s="24">
        <f ca="1">IF($B301="","",EDATE(TODAY(),294))</f>
        <v>55210</v>
      </c>
      <c r="D301" s="18">
        <f t="shared" si="14"/>
        <v>96623.427962081405</v>
      </c>
      <c r="E301" s="18">
        <f>IF($B301="","",MIN('DSCR Calculator'!$C$23,D301+F301))</f>
        <v>1746.4190498453543</v>
      </c>
      <c r="F301" s="18">
        <f>IF($B301="","",D301*('DSCR Calculator'!$C$7/12))</f>
        <v>563.6366631121416</v>
      </c>
      <c r="G301" s="18">
        <f t="shared" si="12"/>
        <v>1182.7823867332127</v>
      </c>
      <c r="H301" s="18">
        <f t="shared" si="13"/>
        <v>95440.645575348186</v>
      </c>
    </row>
    <row r="302" spans="2:8" x14ac:dyDescent="0.25">
      <c r="B302" s="23">
        <f>IF(295&lt;='DSCR Calculator'!$C$8*12,295,"")</f>
        <v>295</v>
      </c>
      <c r="C302" s="24">
        <f ca="1">IF($B302="","",EDATE(TODAY(),295))</f>
        <v>55238</v>
      </c>
      <c r="D302" s="18">
        <f t="shared" si="14"/>
        <v>95440.645575348186</v>
      </c>
      <c r="E302" s="18">
        <f>IF($B302="","",MIN('DSCR Calculator'!$C$23,D302+F302))</f>
        <v>1746.4190498453543</v>
      </c>
      <c r="F302" s="18">
        <f>IF($B302="","",D302*('DSCR Calculator'!$C$7/12))</f>
        <v>556.73709918953114</v>
      </c>
      <c r="G302" s="18">
        <f t="shared" si="12"/>
        <v>1189.6819506558231</v>
      </c>
      <c r="H302" s="18">
        <f t="shared" si="13"/>
        <v>94250.963624692362</v>
      </c>
    </row>
    <row r="303" spans="2:8" x14ac:dyDescent="0.25">
      <c r="B303" s="23">
        <f>IF(296&lt;='DSCR Calculator'!$C$8*12,296,"")</f>
        <v>296</v>
      </c>
      <c r="C303" s="24">
        <f ca="1">IF($B303="","",EDATE(TODAY(),296))</f>
        <v>55269</v>
      </c>
      <c r="D303" s="18">
        <f t="shared" si="14"/>
        <v>94250.963624692362</v>
      </c>
      <c r="E303" s="18">
        <f>IF($B303="","",MIN('DSCR Calculator'!$C$23,D303+F303))</f>
        <v>1746.4190498453543</v>
      </c>
      <c r="F303" s="18">
        <f>IF($B303="","",D303*('DSCR Calculator'!$C$7/12))</f>
        <v>549.79728781070548</v>
      </c>
      <c r="G303" s="18">
        <f t="shared" si="12"/>
        <v>1196.6217620346488</v>
      </c>
      <c r="H303" s="18">
        <f t="shared" si="13"/>
        <v>93054.341862657719</v>
      </c>
    </row>
    <row r="304" spans="2:8" x14ac:dyDescent="0.25">
      <c r="B304" s="23">
        <f>IF(297&lt;='DSCR Calculator'!$C$8*12,297,"")</f>
        <v>297</v>
      </c>
      <c r="C304" s="24">
        <f ca="1">IF($B304="","",EDATE(TODAY(),297))</f>
        <v>55299</v>
      </c>
      <c r="D304" s="18">
        <f t="shared" si="14"/>
        <v>93054.341862657719</v>
      </c>
      <c r="E304" s="18">
        <f>IF($B304="","",MIN('DSCR Calculator'!$C$23,D304+F304))</f>
        <v>1746.4190498453543</v>
      </c>
      <c r="F304" s="18">
        <f>IF($B304="","",D304*('DSCR Calculator'!$C$7/12))</f>
        <v>542.81699419883671</v>
      </c>
      <c r="G304" s="18">
        <f t="shared" si="12"/>
        <v>1203.6020556465176</v>
      </c>
      <c r="H304" s="18">
        <f t="shared" si="13"/>
        <v>91850.739807011196</v>
      </c>
    </row>
    <row r="305" spans="2:8" x14ac:dyDescent="0.25">
      <c r="B305" s="23">
        <f>IF(298&lt;='DSCR Calculator'!$C$8*12,298,"")</f>
        <v>298</v>
      </c>
      <c r="C305" s="24">
        <f ca="1">IF($B305="","",EDATE(TODAY(),298))</f>
        <v>55330</v>
      </c>
      <c r="D305" s="18">
        <f t="shared" si="14"/>
        <v>91850.739807011196</v>
      </c>
      <c r="E305" s="18">
        <f>IF($B305="","",MIN('DSCR Calculator'!$C$23,D305+F305))</f>
        <v>1746.4190498453543</v>
      </c>
      <c r="F305" s="18">
        <f>IF($B305="","",D305*('DSCR Calculator'!$C$7/12))</f>
        <v>535.79598220756532</v>
      </c>
      <c r="G305" s="18">
        <f t="shared" si="12"/>
        <v>1210.6230676377891</v>
      </c>
      <c r="H305" s="18">
        <f t="shared" si="13"/>
        <v>90640.116739373407</v>
      </c>
    </row>
    <row r="306" spans="2:8" x14ac:dyDescent="0.25">
      <c r="B306" s="23">
        <f>IF(299&lt;='DSCR Calculator'!$C$8*12,299,"")</f>
        <v>299</v>
      </c>
      <c r="C306" s="24">
        <f ca="1">IF($B306="","",EDATE(TODAY(),299))</f>
        <v>55360</v>
      </c>
      <c r="D306" s="18">
        <f t="shared" si="14"/>
        <v>90640.116739373407</v>
      </c>
      <c r="E306" s="18">
        <f>IF($B306="","",MIN('DSCR Calculator'!$C$23,D306+F306))</f>
        <v>1746.4190498453543</v>
      </c>
      <c r="F306" s="18">
        <f>IF($B306="","",D306*('DSCR Calculator'!$C$7/12))</f>
        <v>528.73401431301158</v>
      </c>
      <c r="G306" s="18">
        <f t="shared" si="12"/>
        <v>1217.6850355323427</v>
      </c>
      <c r="H306" s="18">
        <f t="shared" si="13"/>
        <v>89422.431703841066</v>
      </c>
    </row>
    <row r="307" spans="2:8" x14ac:dyDescent="0.25">
      <c r="B307" s="23">
        <f>IF(300&lt;='DSCR Calculator'!$C$8*12,300,"")</f>
        <v>300</v>
      </c>
      <c r="C307" s="24">
        <f ca="1">IF($B307="","",EDATE(TODAY(),300))</f>
        <v>55391</v>
      </c>
      <c r="D307" s="18">
        <f t="shared" si="14"/>
        <v>89422.431703841066</v>
      </c>
      <c r="E307" s="18">
        <f>IF($B307="","",MIN('DSCR Calculator'!$C$23,D307+F307))</f>
        <v>1746.4190498453543</v>
      </c>
      <c r="F307" s="18">
        <f>IF($B307="","",D307*('DSCR Calculator'!$C$7/12))</f>
        <v>521.63085160573962</v>
      </c>
      <c r="G307" s="18">
        <f t="shared" si="12"/>
        <v>1224.7881982396148</v>
      </c>
      <c r="H307" s="18">
        <f t="shared" si="13"/>
        <v>88197.643505601445</v>
      </c>
    </row>
    <row r="308" spans="2:8" x14ac:dyDescent="0.25">
      <c r="B308" s="23">
        <f>IF(301&lt;='DSCR Calculator'!$C$8*12,301,"")</f>
        <v>301</v>
      </c>
      <c r="C308" s="24">
        <f ca="1">IF($B308="","",EDATE(TODAY(),301))</f>
        <v>55422</v>
      </c>
      <c r="D308" s="18">
        <f t="shared" si="14"/>
        <v>88197.643505601445</v>
      </c>
      <c r="E308" s="18">
        <f>IF($B308="","",MIN('DSCR Calculator'!$C$23,D308+F308))</f>
        <v>1746.4190498453543</v>
      </c>
      <c r="F308" s="18">
        <f>IF($B308="","",D308*('DSCR Calculator'!$C$7/12))</f>
        <v>514.48625378267513</v>
      </c>
      <c r="G308" s="18">
        <f t="shared" si="12"/>
        <v>1231.9327960626792</v>
      </c>
      <c r="H308" s="18">
        <f t="shared" si="13"/>
        <v>86965.710709538762</v>
      </c>
    </row>
    <row r="309" spans="2:8" x14ac:dyDescent="0.25">
      <c r="B309" s="23">
        <f>IF(302&lt;='DSCR Calculator'!$C$8*12,302,"")</f>
        <v>302</v>
      </c>
      <c r="C309" s="24">
        <f ca="1">IF($B309="","",EDATE(TODAY(),302))</f>
        <v>55452</v>
      </c>
      <c r="D309" s="18">
        <f t="shared" si="14"/>
        <v>86965.710709538762</v>
      </c>
      <c r="E309" s="18">
        <f>IF($B309="","",MIN('DSCR Calculator'!$C$23,D309+F309))</f>
        <v>1746.4190498453543</v>
      </c>
      <c r="F309" s="18">
        <f>IF($B309="","",D309*('DSCR Calculator'!$C$7/12))</f>
        <v>507.29997913897614</v>
      </c>
      <c r="G309" s="18">
        <f t="shared" si="12"/>
        <v>1239.1190707063781</v>
      </c>
      <c r="H309" s="18">
        <f t="shared" si="13"/>
        <v>85726.591638832382</v>
      </c>
    </row>
    <row r="310" spans="2:8" x14ac:dyDescent="0.25">
      <c r="B310" s="23">
        <f>IF(303&lt;='DSCR Calculator'!$C$8*12,303,"")</f>
        <v>303</v>
      </c>
      <c r="C310" s="24">
        <f ca="1">IF($B310="","",EDATE(TODAY(),303))</f>
        <v>55483</v>
      </c>
      <c r="D310" s="18">
        <f t="shared" si="14"/>
        <v>85726.591638832382</v>
      </c>
      <c r="E310" s="18">
        <f>IF($B310="","",MIN('DSCR Calculator'!$C$23,D310+F310))</f>
        <v>1746.4190498453543</v>
      </c>
      <c r="F310" s="18">
        <f>IF($B310="","",D310*('DSCR Calculator'!$C$7/12))</f>
        <v>500.07178455985559</v>
      </c>
      <c r="G310" s="18">
        <f t="shared" si="12"/>
        <v>1246.3472652854987</v>
      </c>
      <c r="H310" s="18">
        <f t="shared" si="13"/>
        <v>84480.244373546884</v>
      </c>
    </row>
    <row r="311" spans="2:8" x14ac:dyDescent="0.25">
      <c r="B311" s="23">
        <f>IF(304&lt;='DSCR Calculator'!$C$8*12,304,"")</f>
        <v>304</v>
      </c>
      <c r="C311" s="24">
        <f ca="1">IF($B311="","",EDATE(TODAY(),304))</f>
        <v>55513</v>
      </c>
      <c r="D311" s="18">
        <f t="shared" si="14"/>
        <v>84480.244373546884</v>
      </c>
      <c r="E311" s="18">
        <f>IF($B311="","",MIN('DSCR Calculator'!$C$23,D311+F311))</f>
        <v>1746.4190498453543</v>
      </c>
      <c r="F311" s="18">
        <f>IF($B311="","",D311*('DSCR Calculator'!$C$7/12))</f>
        <v>492.80142551235684</v>
      </c>
      <c r="G311" s="18">
        <f t="shared" si="12"/>
        <v>1253.6176243329974</v>
      </c>
      <c r="H311" s="18">
        <f t="shared" si="13"/>
        <v>83226.626749213887</v>
      </c>
    </row>
    <row r="312" spans="2:8" x14ac:dyDescent="0.25">
      <c r="B312" s="23">
        <f>IF(305&lt;='DSCR Calculator'!$C$8*12,305,"")</f>
        <v>305</v>
      </c>
      <c r="C312" s="24">
        <f ca="1">IF($B312="","",EDATE(TODAY(),305))</f>
        <v>55544</v>
      </c>
      <c r="D312" s="18">
        <f t="shared" si="14"/>
        <v>83226.626749213887</v>
      </c>
      <c r="E312" s="18">
        <f>IF($B312="","",MIN('DSCR Calculator'!$C$23,D312+F312))</f>
        <v>1746.4190498453543</v>
      </c>
      <c r="F312" s="18">
        <f>IF($B312="","",D312*('DSCR Calculator'!$C$7/12))</f>
        <v>485.488656037081</v>
      </c>
      <c r="G312" s="18">
        <f t="shared" si="12"/>
        <v>1260.9303938082733</v>
      </c>
      <c r="H312" s="18">
        <f t="shared" si="13"/>
        <v>81965.696355405613</v>
      </c>
    </row>
    <row r="313" spans="2:8" x14ac:dyDescent="0.25">
      <c r="B313" s="23">
        <f>IF(306&lt;='DSCR Calculator'!$C$8*12,306,"")</f>
        <v>306</v>
      </c>
      <c r="C313" s="24">
        <f ca="1">IF($B313="","",EDATE(TODAY(),306))</f>
        <v>55575</v>
      </c>
      <c r="D313" s="18">
        <f t="shared" si="14"/>
        <v>81965.696355405613</v>
      </c>
      <c r="E313" s="18">
        <f>IF($B313="","",MIN('DSCR Calculator'!$C$23,D313+F313))</f>
        <v>1746.4190498453543</v>
      </c>
      <c r="F313" s="18">
        <f>IF($B313="","",D313*('DSCR Calculator'!$C$7/12))</f>
        <v>478.13322873986607</v>
      </c>
      <c r="G313" s="18">
        <f t="shared" si="12"/>
        <v>1268.2858211054881</v>
      </c>
      <c r="H313" s="18">
        <f t="shared" si="13"/>
        <v>80697.410534300128</v>
      </c>
    </row>
    <row r="314" spans="2:8" x14ac:dyDescent="0.25">
      <c r="B314" s="23">
        <f>IF(307&lt;='DSCR Calculator'!$C$8*12,307,"")</f>
        <v>307</v>
      </c>
      <c r="C314" s="24">
        <f ca="1">IF($B314="","",EDATE(TODAY(),307))</f>
        <v>55604</v>
      </c>
      <c r="D314" s="18">
        <f t="shared" si="14"/>
        <v>80697.410534300128</v>
      </c>
      <c r="E314" s="18">
        <f>IF($B314="","",MIN('DSCR Calculator'!$C$23,D314+F314))</f>
        <v>1746.4190498453543</v>
      </c>
      <c r="F314" s="18">
        <f>IF($B314="","",D314*('DSCR Calculator'!$C$7/12))</f>
        <v>470.73489478341742</v>
      </c>
      <c r="G314" s="18">
        <f t="shared" si="12"/>
        <v>1275.684155061937</v>
      </c>
      <c r="H314" s="18">
        <f t="shared" si="13"/>
        <v>79421.726379238185</v>
      </c>
    </row>
    <row r="315" spans="2:8" x14ac:dyDescent="0.25">
      <c r="B315" s="23">
        <f>IF(308&lt;='DSCR Calculator'!$C$8*12,308,"")</f>
        <v>308</v>
      </c>
      <c r="C315" s="24">
        <f ca="1">IF($B315="","",EDATE(TODAY(),308))</f>
        <v>55635</v>
      </c>
      <c r="D315" s="18">
        <f t="shared" si="14"/>
        <v>79421.726379238185</v>
      </c>
      <c r="E315" s="18">
        <f>IF($B315="","",MIN('DSCR Calculator'!$C$23,D315+F315))</f>
        <v>1746.4190498453543</v>
      </c>
      <c r="F315" s="18">
        <f>IF($B315="","",D315*('DSCR Calculator'!$C$7/12))</f>
        <v>463.29340387888942</v>
      </c>
      <c r="G315" s="18">
        <f t="shared" si="12"/>
        <v>1283.1256459664648</v>
      </c>
      <c r="H315" s="18">
        <f t="shared" si="13"/>
        <v>78138.600733271727</v>
      </c>
    </row>
    <row r="316" spans="2:8" x14ac:dyDescent="0.25">
      <c r="B316" s="23">
        <f>IF(309&lt;='DSCR Calculator'!$C$8*12,309,"")</f>
        <v>309</v>
      </c>
      <c r="C316" s="24">
        <f ca="1">IF($B316="","",EDATE(TODAY(),309))</f>
        <v>55665</v>
      </c>
      <c r="D316" s="18">
        <f t="shared" si="14"/>
        <v>78138.600733271727</v>
      </c>
      <c r="E316" s="18">
        <f>IF($B316="","",MIN('DSCR Calculator'!$C$23,D316+F316))</f>
        <v>1746.4190498453543</v>
      </c>
      <c r="F316" s="18">
        <f>IF($B316="","",D316*('DSCR Calculator'!$C$7/12))</f>
        <v>455.80850427741842</v>
      </c>
      <c r="G316" s="18">
        <f t="shared" si="12"/>
        <v>1290.6105455679358</v>
      </c>
      <c r="H316" s="18">
        <f t="shared" si="13"/>
        <v>76847.990187703792</v>
      </c>
    </row>
    <row r="317" spans="2:8" x14ac:dyDescent="0.25">
      <c r="B317" s="23">
        <f>IF(310&lt;='DSCR Calculator'!$C$8*12,310,"")</f>
        <v>310</v>
      </c>
      <c r="C317" s="24">
        <f ca="1">IF($B317="","",EDATE(TODAY(),310))</f>
        <v>55696</v>
      </c>
      <c r="D317" s="18">
        <f t="shared" si="14"/>
        <v>76847.990187703792</v>
      </c>
      <c r="E317" s="18">
        <f>IF($B317="","",MIN('DSCR Calculator'!$C$23,D317+F317))</f>
        <v>1746.4190498453543</v>
      </c>
      <c r="F317" s="18">
        <f>IF($B317="","",D317*('DSCR Calculator'!$C$7/12))</f>
        <v>448.27994276160547</v>
      </c>
      <c r="G317" s="18">
        <f t="shared" si="12"/>
        <v>1298.1391070837487</v>
      </c>
      <c r="H317" s="18">
        <f t="shared" si="13"/>
        <v>75549.85108062005</v>
      </c>
    </row>
    <row r="318" spans="2:8" x14ac:dyDescent="0.25">
      <c r="B318" s="23">
        <f>IF(311&lt;='DSCR Calculator'!$C$8*12,311,"")</f>
        <v>311</v>
      </c>
      <c r="C318" s="24">
        <f ca="1">IF($B318="","",EDATE(TODAY(),311))</f>
        <v>55726</v>
      </c>
      <c r="D318" s="18">
        <f t="shared" si="14"/>
        <v>75549.85108062005</v>
      </c>
      <c r="E318" s="18">
        <f>IF($B318="","",MIN('DSCR Calculator'!$C$23,D318+F318))</f>
        <v>1746.4190498453543</v>
      </c>
      <c r="F318" s="18">
        <f>IF($B318="","",D318*('DSCR Calculator'!$C$7/12))</f>
        <v>440.70746463695031</v>
      </c>
      <c r="G318" s="18">
        <f t="shared" si="12"/>
        <v>1305.7115852084039</v>
      </c>
      <c r="H318" s="18">
        <f t="shared" si="13"/>
        <v>74244.13949541164</v>
      </c>
    </row>
    <row r="319" spans="2:8" x14ac:dyDescent="0.25">
      <c r="B319" s="23">
        <f>IF(312&lt;='DSCR Calculator'!$C$8*12,312,"")</f>
        <v>312</v>
      </c>
      <c r="C319" s="24">
        <f ca="1">IF($B319="","",EDATE(TODAY(),312))</f>
        <v>55757</v>
      </c>
      <c r="D319" s="18">
        <f t="shared" si="14"/>
        <v>74244.13949541164</v>
      </c>
      <c r="E319" s="18">
        <f>IF($B319="","",MIN('DSCR Calculator'!$C$23,D319+F319))</f>
        <v>1746.4190498453543</v>
      </c>
      <c r="F319" s="18">
        <f>IF($B319="","",D319*('DSCR Calculator'!$C$7/12))</f>
        <v>433.09081372323459</v>
      </c>
      <c r="G319" s="18">
        <f t="shared" si="12"/>
        <v>1313.3282361221197</v>
      </c>
      <c r="H319" s="18">
        <f t="shared" si="13"/>
        <v>72930.81125928952</v>
      </c>
    </row>
    <row r="320" spans="2:8" x14ac:dyDescent="0.25">
      <c r="B320" s="23">
        <f>IF(313&lt;='DSCR Calculator'!$C$8*12,313,"")</f>
        <v>313</v>
      </c>
      <c r="C320" s="24">
        <f ca="1">IF($B320="","",EDATE(TODAY(),313))</f>
        <v>55788</v>
      </c>
      <c r="D320" s="18">
        <f t="shared" si="14"/>
        <v>72930.81125928952</v>
      </c>
      <c r="E320" s="18">
        <f>IF($B320="","",MIN('DSCR Calculator'!$C$23,D320+F320))</f>
        <v>1746.4190498453543</v>
      </c>
      <c r="F320" s="18">
        <f>IF($B320="","",D320*('DSCR Calculator'!$C$7/12))</f>
        <v>425.42973234585554</v>
      </c>
      <c r="G320" s="18">
        <f t="shared" si="12"/>
        <v>1320.9893174994986</v>
      </c>
      <c r="H320" s="18">
        <f t="shared" si="13"/>
        <v>71609.821941790025</v>
      </c>
    </row>
    <row r="321" spans="2:8" x14ac:dyDescent="0.25">
      <c r="B321" s="23">
        <f>IF(314&lt;='DSCR Calculator'!$C$8*12,314,"")</f>
        <v>314</v>
      </c>
      <c r="C321" s="24">
        <f ca="1">IF($B321="","",EDATE(TODAY(),314))</f>
        <v>55818</v>
      </c>
      <c r="D321" s="18">
        <f t="shared" si="14"/>
        <v>71609.821941790025</v>
      </c>
      <c r="E321" s="18">
        <f>IF($B321="","",MIN('DSCR Calculator'!$C$23,D321+F321))</f>
        <v>1746.4190498453543</v>
      </c>
      <c r="F321" s="18">
        <f>IF($B321="","",D321*('DSCR Calculator'!$C$7/12))</f>
        <v>417.7239613271085</v>
      </c>
      <c r="G321" s="18">
        <f t="shared" si="12"/>
        <v>1328.6950885182457</v>
      </c>
      <c r="H321" s="18">
        <f t="shared" si="13"/>
        <v>70281.12685327178</v>
      </c>
    </row>
    <row r="322" spans="2:8" x14ac:dyDescent="0.25">
      <c r="B322" s="23">
        <f>IF(315&lt;='DSCR Calculator'!$C$8*12,315,"")</f>
        <v>315</v>
      </c>
      <c r="C322" s="24">
        <f ca="1">IF($B322="","",EDATE(TODAY(),315))</f>
        <v>55849</v>
      </c>
      <c r="D322" s="18">
        <f t="shared" si="14"/>
        <v>70281.12685327178</v>
      </c>
      <c r="E322" s="18">
        <f>IF($B322="","",MIN('DSCR Calculator'!$C$23,D322+F322))</f>
        <v>1746.4190498453543</v>
      </c>
      <c r="F322" s="18">
        <f>IF($B322="","",D322*('DSCR Calculator'!$C$7/12))</f>
        <v>409.97323997741876</v>
      </c>
      <c r="G322" s="18">
        <f t="shared" si="12"/>
        <v>1336.4458098679356</v>
      </c>
      <c r="H322" s="18">
        <f t="shared" si="13"/>
        <v>68944.681043403849</v>
      </c>
    </row>
    <row r="323" spans="2:8" x14ac:dyDescent="0.25">
      <c r="B323" s="23">
        <f>IF(316&lt;='DSCR Calculator'!$C$8*12,316,"")</f>
        <v>316</v>
      </c>
      <c r="C323" s="24">
        <f ca="1">IF($B323="","",EDATE(TODAY(),316))</f>
        <v>55879</v>
      </c>
      <c r="D323" s="18">
        <f t="shared" si="14"/>
        <v>68944.681043403849</v>
      </c>
      <c r="E323" s="18">
        <f>IF($B323="","",MIN('DSCR Calculator'!$C$23,D323+F323))</f>
        <v>1746.4190498453543</v>
      </c>
      <c r="F323" s="18">
        <f>IF($B323="","",D323*('DSCR Calculator'!$C$7/12))</f>
        <v>402.17730608652249</v>
      </c>
      <c r="G323" s="18">
        <f t="shared" si="12"/>
        <v>1344.2417437588317</v>
      </c>
      <c r="H323" s="18">
        <f t="shared" si="13"/>
        <v>67600.439299645019</v>
      </c>
    </row>
    <row r="324" spans="2:8" x14ac:dyDescent="0.25">
      <c r="B324" s="23">
        <f>IF(317&lt;='DSCR Calculator'!$C$8*12,317,"")</f>
        <v>317</v>
      </c>
      <c r="C324" s="24">
        <f ca="1">IF($B324="","",EDATE(TODAY(),317))</f>
        <v>55910</v>
      </c>
      <c r="D324" s="18">
        <f t="shared" si="14"/>
        <v>67600.439299645019</v>
      </c>
      <c r="E324" s="18">
        <f>IF($B324="","",MIN('DSCR Calculator'!$C$23,D324+F324))</f>
        <v>1746.4190498453543</v>
      </c>
      <c r="F324" s="18">
        <f>IF($B324="","",D324*('DSCR Calculator'!$C$7/12))</f>
        <v>394.33589591459594</v>
      </c>
      <c r="G324" s="18">
        <f t="shared" si="12"/>
        <v>1352.0831539307583</v>
      </c>
      <c r="H324" s="18">
        <f t="shared" si="13"/>
        <v>66248.356145714264</v>
      </c>
    </row>
    <row r="325" spans="2:8" x14ac:dyDescent="0.25">
      <c r="B325" s="23">
        <f>IF(318&lt;='DSCR Calculator'!$C$8*12,318,"")</f>
        <v>318</v>
      </c>
      <c r="C325" s="24">
        <f ca="1">IF($B325="","",EDATE(TODAY(),318))</f>
        <v>55941</v>
      </c>
      <c r="D325" s="18">
        <f t="shared" si="14"/>
        <v>66248.356145714264</v>
      </c>
      <c r="E325" s="18">
        <f>IF($B325="","",MIN('DSCR Calculator'!$C$23,D325+F325))</f>
        <v>1746.4190498453543</v>
      </c>
      <c r="F325" s="18">
        <f>IF($B325="","",D325*('DSCR Calculator'!$C$7/12))</f>
        <v>386.44874418333325</v>
      </c>
      <c r="G325" s="18">
        <f t="shared" si="12"/>
        <v>1359.970305662021</v>
      </c>
      <c r="H325" s="18">
        <f t="shared" si="13"/>
        <v>64888.385840052244</v>
      </c>
    </row>
    <row r="326" spans="2:8" x14ac:dyDescent="0.25">
      <c r="B326" s="23">
        <f>IF(319&lt;='DSCR Calculator'!$C$8*12,319,"")</f>
        <v>319</v>
      </c>
      <c r="C326" s="24">
        <f ca="1">IF($B326="","",EDATE(TODAY(),319))</f>
        <v>55969</v>
      </c>
      <c r="D326" s="18">
        <f t="shared" si="14"/>
        <v>64888.385840052244</v>
      </c>
      <c r="E326" s="18">
        <f>IF($B326="","",MIN('DSCR Calculator'!$C$23,D326+F326))</f>
        <v>1746.4190498453543</v>
      </c>
      <c r="F326" s="18">
        <f>IF($B326="","",D326*('DSCR Calculator'!$C$7/12))</f>
        <v>378.51558406697143</v>
      </c>
      <c r="G326" s="18">
        <f t="shared" si="12"/>
        <v>1367.9034657783827</v>
      </c>
      <c r="H326" s="18">
        <f t="shared" si="13"/>
        <v>63520.482374273859</v>
      </c>
    </row>
    <row r="327" spans="2:8" x14ac:dyDescent="0.25">
      <c r="B327" s="23">
        <f>IF(320&lt;='DSCR Calculator'!$C$8*12,320,"")</f>
        <v>320</v>
      </c>
      <c r="C327" s="24">
        <f ca="1">IF($B327="","",EDATE(TODAY(),320))</f>
        <v>56000</v>
      </c>
      <c r="D327" s="18">
        <f t="shared" si="14"/>
        <v>63520.482374273859</v>
      </c>
      <c r="E327" s="18">
        <f>IF($B327="","",MIN('DSCR Calculator'!$C$23,D327+F327))</f>
        <v>1746.4190498453543</v>
      </c>
      <c r="F327" s="18">
        <f>IF($B327="","",D327*('DSCR Calculator'!$C$7/12))</f>
        <v>370.53614718326418</v>
      </c>
      <c r="G327" s="18">
        <f t="shared" si="12"/>
        <v>1375.8829026620901</v>
      </c>
      <c r="H327" s="18">
        <f t="shared" si="13"/>
        <v>62144.599471611771</v>
      </c>
    </row>
    <row r="328" spans="2:8" x14ac:dyDescent="0.25">
      <c r="B328" s="23">
        <f>IF(321&lt;='DSCR Calculator'!$C$8*12,321,"")</f>
        <v>321</v>
      </c>
      <c r="C328" s="24">
        <f ca="1">IF($B328="","",EDATE(TODAY(),321))</f>
        <v>56030</v>
      </c>
      <c r="D328" s="18">
        <f t="shared" si="14"/>
        <v>62144.599471611771</v>
      </c>
      <c r="E328" s="18">
        <f>IF($B328="","",MIN('DSCR Calculator'!$C$23,D328+F328))</f>
        <v>1746.4190498453543</v>
      </c>
      <c r="F328" s="18">
        <f>IF($B328="","",D328*('DSCR Calculator'!$C$7/12))</f>
        <v>362.51016358440199</v>
      </c>
      <c r="G328" s="18">
        <f t="shared" ref="G328:G391" si="15">IF($B328="","",E328-F328)</f>
        <v>1383.9088862609524</v>
      </c>
      <c r="H328" s="18">
        <f t="shared" ref="H328:H391" si="16">IF($B328="","",D328-G328)</f>
        <v>60760.690585350821</v>
      </c>
    </row>
    <row r="329" spans="2:8" x14ac:dyDescent="0.25">
      <c r="B329" s="23">
        <f>IF(322&lt;='DSCR Calculator'!$C$8*12,322,"")</f>
        <v>322</v>
      </c>
      <c r="C329" s="24">
        <f ca="1">IF($B329="","",EDATE(TODAY(),322))</f>
        <v>56061</v>
      </c>
      <c r="D329" s="18">
        <f t="shared" ref="D329:D367" si="17">IF($B329="","",H328)</f>
        <v>60760.690585350821</v>
      </c>
      <c r="E329" s="18">
        <f>IF($B329="","",MIN('DSCR Calculator'!$C$23,D329+F329))</f>
        <v>1746.4190498453543</v>
      </c>
      <c r="F329" s="18">
        <f>IF($B329="","",D329*('DSCR Calculator'!$C$7/12))</f>
        <v>354.43736174787983</v>
      </c>
      <c r="G329" s="18">
        <f t="shared" si="15"/>
        <v>1391.9816880974745</v>
      </c>
      <c r="H329" s="18">
        <f t="shared" si="16"/>
        <v>59368.708897253346</v>
      </c>
    </row>
    <row r="330" spans="2:8" x14ac:dyDescent="0.25">
      <c r="B330" s="23">
        <f>IF(323&lt;='DSCR Calculator'!$C$8*12,323,"")</f>
        <v>323</v>
      </c>
      <c r="C330" s="24">
        <f ca="1">IF($B330="","",EDATE(TODAY(),323))</f>
        <v>56091</v>
      </c>
      <c r="D330" s="18">
        <f t="shared" si="17"/>
        <v>59368.708897253346</v>
      </c>
      <c r="E330" s="18">
        <f>IF($B330="","",MIN('DSCR Calculator'!$C$23,D330+F330))</f>
        <v>1746.4190498453543</v>
      </c>
      <c r="F330" s="18">
        <f>IF($B330="","",D330*('DSCR Calculator'!$C$7/12))</f>
        <v>346.31746856731121</v>
      </c>
      <c r="G330" s="18">
        <f t="shared" si="15"/>
        <v>1400.1015812780431</v>
      </c>
      <c r="H330" s="18">
        <f t="shared" si="16"/>
        <v>57968.6073159753</v>
      </c>
    </row>
    <row r="331" spans="2:8" x14ac:dyDescent="0.25">
      <c r="B331" s="23">
        <f>IF(324&lt;='DSCR Calculator'!$C$8*12,324,"")</f>
        <v>324</v>
      </c>
      <c r="C331" s="24">
        <f ca="1">IF($B331="","",EDATE(TODAY(),324))</f>
        <v>56122</v>
      </c>
      <c r="D331" s="18">
        <f t="shared" si="17"/>
        <v>57968.6073159753</v>
      </c>
      <c r="E331" s="18">
        <f>IF($B331="","",MIN('DSCR Calculator'!$C$23,D331+F331))</f>
        <v>1746.4190498453543</v>
      </c>
      <c r="F331" s="18">
        <f>IF($B331="","",D331*('DSCR Calculator'!$C$7/12))</f>
        <v>338.15020934318926</v>
      </c>
      <c r="G331" s="18">
        <f t="shared" si="15"/>
        <v>1408.2688405021649</v>
      </c>
      <c r="H331" s="18">
        <f t="shared" si="16"/>
        <v>56560.338475473138</v>
      </c>
    </row>
    <row r="332" spans="2:8" x14ac:dyDescent="0.25">
      <c r="B332" s="23">
        <f>IF(325&lt;='DSCR Calculator'!$C$8*12,325,"")</f>
        <v>325</v>
      </c>
      <c r="C332" s="24">
        <f ca="1">IF($B332="","",EDATE(TODAY(),325))</f>
        <v>56153</v>
      </c>
      <c r="D332" s="18">
        <f t="shared" si="17"/>
        <v>56560.338475473138</v>
      </c>
      <c r="E332" s="18">
        <f>IF($B332="","",MIN('DSCR Calculator'!$C$23,D332+F332))</f>
        <v>1746.4190498453543</v>
      </c>
      <c r="F332" s="18">
        <f>IF($B332="","",D332*('DSCR Calculator'!$C$7/12))</f>
        <v>329.93530777359331</v>
      </c>
      <c r="G332" s="18">
        <f t="shared" si="15"/>
        <v>1416.4837420717608</v>
      </c>
      <c r="H332" s="18">
        <f t="shared" si="16"/>
        <v>55143.854733401378</v>
      </c>
    </row>
    <row r="333" spans="2:8" x14ac:dyDescent="0.25">
      <c r="B333" s="23">
        <f>IF(326&lt;='DSCR Calculator'!$C$8*12,326,"")</f>
        <v>326</v>
      </c>
      <c r="C333" s="24">
        <f ca="1">IF($B333="","",EDATE(TODAY(),326))</f>
        <v>56183</v>
      </c>
      <c r="D333" s="18">
        <f t="shared" si="17"/>
        <v>55143.854733401378</v>
      </c>
      <c r="E333" s="18">
        <f>IF($B333="","",MIN('DSCR Calculator'!$C$23,D333+F333))</f>
        <v>1746.4190498453543</v>
      </c>
      <c r="F333" s="18">
        <f>IF($B333="","",D333*('DSCR Calculator'!$C$7/12))</f>
        <v>321.67248594484141</v>
      </c>
      <c r="G333" s="18">
        <f t="shared" si="15"/>
        <v>1424.7465639005129</v>
      </c>
      <c r="H333" s="18">
        <f t="shared" si="16"/>
        <v>53719.108169500869</v>
      </c>
    </row>
    <row r="334" spans="2:8" x14ac:dyDescent="0.25">
      <c r="B334" s="23">
        <f>IF(327&lt;='DSCR Calculator'!$C$8*12,327,"")</f>
        <v>327</v>
      </c>
      <c r="C334" s="24">
        <f ca="1">IF($B334="","",EDATE(TODAY(),327))</f>
        <v>56214</v>
      </c>
      <c r="D334" s="18">
        <f t="shared" si="17"/>
        <v>53719.108169500869</v>
      </c>
      <c r="E334" s="18">
        <f>IF($B334="","",MIN('DSCR Calculator'!$C$23,D334+F334))</f>
        <v>1746.4190498453543</v>
      </c>
      <c r="F334" s="18">
        <f>IF($B334="","",D334*('DSCR Calculator'!$C$7/12))</f>
        <v>313.36146432208841</v>
      </c>
      <c r="G334" s="18">
        <f t="shared" si="15"/>
        <v>1433.057585523266</v>
      </c>
      <c r="H334" s="18">
        <f t="shared" si="16"/>
        <v>52286.050583977601</v>
      </c>
    </row>
    <row r="335" spans="2:8" x14ac:dyDescent="0.25">
      <c r="B335" s="23">
        <f>IF(328&lt;='DSCR Calculator'!$C$8*12,328,"")</f>
        <v>328</v>
      </c>
      <c r="C335" s="24">
        <f ca="1">IF($B335="","",EDATE(TODAY(),328))</f>
        <v>56244</v>
      </c>
      <c r="D335" s="18">
        <f t="shared" si="17"/>
        <v>52286.050583977601</v>
      </c>
      <c r="E335" s="18">
        <f>IF($B335="","",MIN('DSCR Calculator'!$C$23,D335+F335))</f>
        <v>1746.4190498453543</v>
      </c>
      <c r="F335" s="18">
        <f>IF($B335="","",D335*('DSCR Calculator'!$C$7/12))</f>
        <v>305.00196173986933</v>
      </c>
      <c r="G335" s="18">
        <f t="shared" si="15"/>
        <v>1441.4170881054849</v>
      </c>
      <c r="H335" s="18">
        <f t="shared" si="16"/>
        <v>50844.63349587212</v>
      </c>
    </row>
    <row r="336" spans="2:8" x14ac:dyDescent="0.25">
      <c r="B336" s="23">
        <f>IF(329&lt;='DSCR Calculator'!$C$8*12,329,"")</f>
        <v>329</v>
      </c>
      <c r="C336" s="24">
        <f ca="1">IF($B336="","",EDATE(TODAY(),329))</f>
        <v>56275</v>
      </c>
      <c r="D336" s="18">
        <f t="shared" si="17"/>
        <v>50844.63349587212</v>
      </c>
      <c r="E336" s="18">
        <f>IF($B336="","",MIN('DSCR Calculator'!$C$23,D336+F336))</f>
        <v>1746.4190498453543</v>
      </c>
      <c r="F336" s="18">
        <f>IF($B336="","",D336*('DSCR Calculator'!$C$7/12))</f>
        <v>296.59369539258739</v>
      </c>
      <c r="G336" s="18">
        <f t="shared" si="15"/>
        <v>1449.825354452767</v>
      </c>
      <c r="H336" s="18">
        <f t="shared" si="16"/>
        <v>49394.808141419351</v>
      </c>
    </row>
    <row r="337" spans="2:8" x14ac:dyDescent="0.25">
      <c r="B337" s="23">
        <f>IF(330&lt;='DSCR Calculator'!$C$8*12,330,"")</f>
        <v>330</v>
      </c>
      <c r="C337" s="24">
        <f ca="1">IF($B337="","",EDATE(TODAY(),330))</f>
        <v>56306</v>
      </c>
      <c r="D337" s="18">
        <f t="shared" si="17"/>
        <v>49394.808141419351</v>
      </c>
      <c r="E337" s="18">
        <f>IF($B337="","",MIN('DSCR Calculator'!$C$23,D337+F337))</f>
        <v>1746.4190498453543</v>
      </c>
      <c r="F337" s="18">
        <f>IF($B337="","",D337*('DSCR Calculator'!$C$7/12))</f>
        <v>288.13638082494623</v>
      </c>
      <c r="G337" s="18">
        <f t="shared" si="15"/>
        <v>1458.2826690204081</v>
      </c>
      <c r="H337" s="18">
        <f t="shared" si="16"/>
        <v>47936.525472398942</v>
      </c>
    </row>
    <row r="338" spans="2:8" x14ac:dyDescent="0.25">
      <c r="B338" s="23">
        <f>IF(331&lt;='DSCR Calculator'!$C$8*12,331,"")</f>
        <v>331</v>
      </c>
      <c r="C338" s="24">
        <f ca="1">IF($B338="","",EDATE(TODAY(),331))</f>
        <v>56334</v>
      </c>
      <c r="D338" s="18">
        <f t="shared" si="17"/>
        <v>47936.525472398942</v>
      </c>
      <c r="E338" s="18">
        <f>IF($B338="","",MIN('DSCR Calculator'!$C$23,D338+F338))</f>
        <v>1746.4190498453543</v>
      </c>
      <c r="F338" s="18">
        <f>IF($B338="","",D338*('DSCR Calculator'!$C$7/12))</f>
        <v>279.62973192232715</v>
      </c>
      <c r="G338" s="18">
        <f t="shared" si="15"/>
        <v>1466.7893179230271</v>
      </c>
      <c r="H338" s="18">
        <f t="shared" si="16"/>
        <v>46469.736154475911</v>
      </c>
    </row>
    <row r="339" spans="2:8" x14ac:dyDescent="0.25">
      <c r="B339" s="23">
        <f>IF(332&lt;='DSCR Calculator'!$C$8*12,332,"")</f>
        <v>332</v>
      </c>
      <c r="C339" s="24">
        <f ca="1">IF($B339="","",EDATE(TODAY(),332))</f>
        <v>56365</v>
      </c>
      <c r="D339" s="18">
        <f t="shared" si="17"/>
        <v>46469.736154475911</v>
      </c>
      <c r="E339" s="18">
        <f>IF($B339="","",MIN('DSCR Calculator'!$C$23,D339+F339))</f>
        <v>1746.4190498453543</v>
      </c>
      <c r="F339" s="18">
        <f>IF($B339="","",D339*('DSCR Calculator'!$C$7/12))</f>
        <v>271.07346090110951</v>
      </c>
      <c r="G339" s="18">
        <f t="shared" si="15"/>
        <v>1475.3455889442448</v>
      </c>
      <c r="H339" s="18">
        <f t="shared" si="16"/>
        <v>44994.390565531663</v>
      </c>
    </row>
    <row r="340" spans="2:8" x14ac:dyDescent="0.25">
      <c r="B340" s="23">
        <f>IF(333&lt;='DSCR Calculator'!$C$8*12,333,"")</f>
        <v>333</v>
      </c>
      <c r="C340" s="24">
        <f ca="1">IF($B340="","",EDATE(TODAY(),333))</f>
        <v>56395</v>
      </c>
      <c r="D340" s="18">
        <f t="shared" si="17"/>
        <v>44994.390565531663</v>
      </c>
      <c r="E340" s="18">
        <f>IF($B340="","",MIN('DSCR Calculator'!$C$23,D340+F340))</f>
        <v>1746.4190498453543</v>
      </c>
      <c r="F340" s="18">
        <f>IF($B340="","",D340*('DSCR Calculator'!$C$7/12))</f>
        <v>262.46727829893473</v>
      </c>
      <c r="G340" s="18">
        <f t="shared" si="15"/>
        <v>1483.9517715464194</v>
      </c>
      <c r="H340" s="18">
        <f t="shared" si="16"/>
        <v>43510.438793985246</v>
      </c>
    </row>
    <row r="341" spans="2:8" x14ac:dyDescent="0.25">
      <c r="B341" s="23">
        <f>IF(334&lt;='DSCR Calculator'!$C$8*12,334,"")</f>
        <v>334</v>
      </c>
      <c r="C341" s="24">
        <f ca="1">IF($B341="","",EDATE(TODAY(),334))</f>
        <v>56426</v>
      </c>
      <c r="D341" s="18">
        <f t="shared" si="17"/>
        <v>43510.438793985246</v>
      </c>
      <c r="E341" s="18">
        <f>IF($B341="","",MIN('DSCR Calculator'!$C$23,D341+F341))</f>
        <v>1746.4190498453543</v>
      </c>
      <c r="F341" s="18">
        <f>IF($B341="","",D341*('DSCR Calculator'!$C$7/12))</f>
        <v>253.81089296491393</v>
      </c>
      <c r="G341" s="18">
        <f t="shared" si="15"/>
        <v>1492.6081568804402</v>
      </c>
      <c r="H341" s="18">
        <f t="shared" si="16"/>
        <v>42017.830637104809</v>
      </c>
    </row>
    <row r="342" spans="2:8" x14ac:dyDescent="0.25">
      <c r="B342" s="23">
        <f>IF(335&lt;='DSCR Calculator'!$C$8*12,335,"")</f>
        <v>335</v>
      </c>
      <c r="C342" s="24">
        <f ca="1">IF($B342="","",EDATE(TODAY(),335))</f>
        <v>56456</v>
      </c>
      <c r="D342" s="18">
        <f t="shared" si="17"/>
        <v>42017.830637104809</v>
      </c>
      <c r="E342" s="18">
        <f>IF($B342="","",MIN('DSCR Calculator'!$C$23,D342+F342))</f>
        <v>1746.4190498453543</v>
      </c>
      <c r="F342" s="18">
        <f>IF($B342="","",D342*('DSCR Calculator'!$C$7/12))</f>
        <v>245.10401204977808</v>
      </c>
      <c r="G342" s="18">
        <f t="shared" si="15"/>
        <v>1501.3150377955762</v>
      </c>
      <c r="H342" s="18">
        <f t="shared" si="16"/>
        <v>40516.515599309234</v>
      </c>
    </row>
    <row r="343" spans="2:8" x14ac:dyDescent="0.25">
      <c r="B343" s="23">
        <f>IF(336&lt;='DSCR Calculator'!$C$8*12,336,"")</f>
        <v>336</v>
      </c>
      <c r="C343" s="24">
        <f ca="1">IF($B343="","",EDATE(TODAY(),336))</f>
        <v>56487</v>
      </c>
      <c r="D343" s="18">
        <f t="shared" si="17"/>
        <v>40516.515599309234</v>
      </c>
      <c r="E343" s="18">
        <f>IF($B343="","",MIN('DSCR Calculator'!$C$23,D343+F343))</f>
        <v>1746.4190498453543</v>
      </c>
      <c r="F343" s="18">
        <f>IF($B343="","",D343*('DSCR Calculator'!$C$7/12))</f>
        <v>236.34634099597054</v>
      </c>
      <c r="G343" s="18">
        <f t="shared" si="15"/>
        <v>1510.0727088493836</v>
      </c>
      <c r="H343" s="18">
        <f t="shared" si="16"/>
        <v>39006.442890459854</v>
      </c>
    </row>
    <row r="344" spans="2:8" x14ac:dyDescent="0.25">
      <c r="B344" s="23">
        <f>IF(337&lt;='DSCR Calculator'!$C$8*12,337,"")</f>
        <v>337</v>
      </c>
      <c r="C344" s="24">
        <f ca="1">IF($B344="","",EDATE(TODAY(),337))</f>
        <v>56518</v>
      </c>
      <c r="D344" s="18">
        <f t="shared" si="17"/>
        <v>39006.442890459854</v>
      </c>
      <c r="E344" s="18">
        <f>IF($B344="","",MIN('DSCR Calculator'!$C$23,D344+F344))</f>
        <v>1746.4190498453543</v>
      </c>
      <c r="F344" s="18">
        <f>IF($B344="","",D344*('DSCR Calculator'!$C$7/12))</f>
        <v>227.5375835276825</v>
      </c>
      <c r="G344" s="18">
        <f t="shared" si="15"/>
        <v>1518.8814663176718</v>
      </c>
      <c r="H344" s="18">
        <f t="shared" si="16"/>
        <v>37487.561424142179</v>
      </c>
    </row>
    <row r="345" spans="2:8" x14ac:dyDescent="0.25">
      <c r="B345" s="23">
        <f>IF(338&lt;='DSCR Calculator'!$C$8*12,338,"")</f>
        <v>338</v>
      </c>
      <c r="C345" s="24">
        <f ca="1">IF($B345="","",EDATE(TODAY(),338))</f>
        <v>56548</v>
      </c>
      <c r="D345" s="18">
        <f t="shared" si="17"/>
        <v>37487.561424142179</v>
      </c>
      <c r="E345" s="18">
        <f>IF($B345="","",MIN('DSCR Calculator'!$C$23,D345+F345))</f>
        <v>1746.4190498453543</v>
      </c>
      <c r="F345" s="18">
        <f>IF($B345="","",D345*('DSCR Calculator'!$C$7/12))</f>
        <v>218.67744164082939</v>
      </c>
      <c r="G345" s="18">
        <f t="shared" si="15"/>
        <v>1527.7416082045249</v>
      </c>
      <c r="H345" s="18">
        <f t="shared" si="16"/>
        <v>35959.819815937655</v>
      </c>
    </row>
    <row r="346" spans="2:8" x14ac:dyDescent="0.25">
      <c r="B346" s="23">
        <f>IF(339&lt;='DSCR Calculator'!$C$8*12,339,"")</f>
        <v>339</v>
      </c>
      <c r="C346" s="24">
        <f ca="1">IF($B346="","",EDATE(TODAY(),339))</f>
        <v>56579</v>
      </c>
      <c r="D346" s="18">
        <f t="shared" si="17"/>
        <v>35959.819815937655</v>
      </c>
      <c r="E346" s="18">
        <f>IF($B346="","",MIN('DSCR Calculator'!$C$23,D346+F346))</f>
        <v>1746.4190498453543</v>
      </c>
      <c r="F346" s="18">
        <f>IF($B346="","",D346*('DSCR Calculator'!$C$7/12))</f>
        <v>209.76561559296965</v>
      </c>
      <c r="G346" s="18">
        <f t="shared" si="15"/>
        <v>1536.6534342523846</v>
      </c>
      <c r="H346" s="18">
        <f t="shared" si="16"/>
        <v>34423.166381685267</v>
      </c>
    </row>
    <row r="347" spans="2:8" x14ac:dyDescent="0.25">
      <c r="B347" s="23">
        <f>IF(340&lt;='DSCR Calculator'!$C$8*12,340,"")</f>
        <v>340</v>
      </c>
      <c r="C347" s="24">
        <f ca="1">IF($B347="","",EDATE(TODAY(),340))</f>
        <v>56609</v>
      </c>
      <c r="D347" s="18">
        <f t="shared" si="17"/>
        <v>34423.166381685267</v>
      </c>
      <c r="E347" s="18">
        <f>IF($B347="","",MIN('DSCR Calculator'!$C$23,D347+F347))</f>
        <v>1746.4190498453543</v>
      </c>
      <c r="F347" s="18">
        <f>IF($B347="","",D347*('DSCR Calculator'!$C$7/12))</f>
        <v>200.80180389316408</v>
      </c>
      <c r="G347" s="18">
        <f t="shared" si="15"/>
        <v>1545.6172459521902</v>
      </c>
      <c r="H347" s="18">
        <f t="shared" si="16"/>
        <v>32877.549135733076</v>
      </c>
    </row>
    <row r="348" spans="2:8" x14ac:dyDescent="0.25">
      <c r="B348" s="23">
        <f>IF(341&lt;='DSCR Calculator'!$C$8*12,341,"")</f>
        <v>341</v>
      </c>
      <c r="C348" s="24">
        <f ca="1">IF($B348="","",EDATE(TODAY(),341))</f>
        <v>56640</v>
      </c>
      <c r="D348" s="18">
        <f t="shared" si="17"/>
        <v>32877.549135733076</v>
      </c>
      <c r="E348" s="18">
        <f>IF($B348="","",MIN('DSCR Calculator'!$C$23,D348+F348))</f>
        <v>1746.4190498453543</v>
      </c>
      <c r="F348" s="18">
        <f>IF($B348="","",D348*('DSCR Calculator'!$C$7/12))</f>
        <v>191.78570329177629</v>
      </c>
      <c r="G348" s="18">
        <f t="shared" si="15"/>
        <v>1554.6333465535779</v>
      </c>
      <c r="H348" s="18">
        <f t="shared" si="16"/>
        <v>31322.915789179497</v>
      </c>
    </row>
    <row r="349" spans="2:8" x14ac:dyDescent="0.25">
      <c r="B349" s="23">
        <f>IF(342&lt;='DSCR Calculator'!$C$8*12,342,"")</f>
        <v>342</v>
      </c>
      <c r="C349" s="24">
        <f ca="1">IF($B349="","",EDATE(TODAY(),342))</f>
        <v>56671</v>
      </c>
      <c r="D349" s="18">
        <f t="shared" si="17"/>
        <v>31322.915789179497</v>
      </c>
      <c r="E349" s="18">
        <f>IF($B349="","",MIN('DSCR Calculator'!$C$23,D349+F349))</f>
        <v>1746.4190498453543</v>
      </c>
      <c r="F349" s="18">
        <f>IF($B349="","",D349*('DSCR Calculator'!$C$7/12))</f>
        <v>182.71700877021374</v>
      </c>
      <c r="G349" s="18">
        <f t="shared" si="15"/>
        <v>1563.7020410751406</v>
      </c>
      <c r="H349" s="18">
        <f t="shared" si="16"/>
        <v>29759.213748104357</v>
      </c>
    </row>
    <row r="350" spans="2:8" x14ac:dyDescent="0.25">
      <c r="B350" s="23">
        <f>IF(343&lt;='DSCR Calculator'!$C$8*12,343,"")</f>
        <v>343</v>
      </c>
      <c r="C350" s="24">
        <f ca="1">IF($B350="","",EDATE(TODAY(),343))</f>
        <v>56699</v>
      </c>
      <c r="D350" s="18">
        <f t="shared" si="17"/>
        <v>29759.213748104357</v>
      </c>
      <c r="E350" s="18">
        <f>IF($B350="","",MIN('DSCR Calculator'!$C$23,D350+F350))</f>
        <v>1746.4190498453543</v>
      </c>
      <c r="F350" s="18">
        <f>IF($B350="","",D350*('DSCR Calculator'!$C$7/12))</f>
        <v>173.59541353060877</v>
      </c>
      <c r="G350" s="18">
        <f t="shared" si="15"/>
        <v>1572.8236363147455</v>
      </c>
      <c r="H350" s="18">
        <f t="shared" si="16"/>
        <v>28186.390111789613</v>
      </c>
    </row>
    <row r="351" spans="2:8" x14ac:dyDescent="0.25">
      <c r="B351" s="23">
        <f>IF(344&lt;='DSCR Calculator'!$C$8*12,344,"")</f>
        <v>344</v>
      </c>
      <c r="C351" s="24">
        <f ca="1">IF($B351="","",EDATE(TODAY(),344))</f>
        <v>56730</v>
      </c>
      <c r="D351" s="18">
        <f t="shared" si="17"/>
        <v>28186.390111789613</v>
      </c>
      <c r="E351" s="18">
        <f>IF($B351="","",MIN('DSCR Calculator'!$C$23,D351+F351))</f>
        <v>1746.4190498453543</v>
      </c>
      <c r="F351" s="18">
        <f>IF($B351="","",D351*('DSCR Calculator'!$C$7/12))</f>
        <v>164.42060898543943</v>
      </c>
      <c r="G351" s="18">
        <f t="shared" si="15"/>
        <v>1581.9984408599148</v>
      </c>
      <c r="H351" s="18">
        <f t="shared" si="16"/>
        <v>26604.391670929697</v>
      </c>
    </row>
    <row r="352" spans="2:8" x14ac:dyDescent="0.25">
      <c r="B352" s="23">
        <f>IF(345&lt;='DSCR Calculator'!$C$8*12,345,"")</f>
        <v>345</v>
      </c>
      <c r="C352" s="24">
        <f ca="1">IF($B352="","",EDATE(TODAY(),345))</f>
        <v>56760</v>
      </c>
      <c r="D352" s="18">
        <f t="shared" si="17"/>
        <v>26604.391670929697</v>
      </c>
      <c r="E352" s="18">
        <f>IF($B352="","",MIN('DSCR Calculator'!$C$23,D352+F352))</f>
        <v>1746.4190498453543</v>
      </c>
      <c r="F352" s="18">
        <f>IF($B352="","",D352*('DSCR Calculator'!$C$7/12))</f>
        <v>155.1922847470899</v>
      </c>
      <c r="G352" s="18">
        <f t="shared" si="15"/>
        <v>1591.2267650982644</v>
      </c>
      <c r="H352" s="18">
        <f t="shared" si="16"/>
        <v>25013.164905831432</v>
      </c>
    </row>
    <row r="353" spans="2:8" x14ac:dyDescent="0.25">
      <c r="B353" s="23">
        <f>IF(346&lt;='DSCR Calculator'!$C$8*12,346,"")</f>
        <v>346</v>
      </c>
      <c r="C353" s="24">
        <f ca="1">IF($B353="","",EDATE(TODAY(),346))</f>
        <v>56791</v>
      </c>
      <c r="D353" s="18">
        <f t="shared" si="17"/>
        <v>25013.164905831432</v>
      </c>
      <c r="E353" s="18">
        <f>IF($B353="","",MIN('DSCR Calculator'!$C$23,D353+F353))</f>
        <v>1746.4190498453543</v>
      </c>
      <c r="F353" s="18">
        <f>IF($B353="","",D353*('DSCR Calculator'!$C$7/12))</f>
        <v>145.91012861735004</v>
      </c>
      <c r="G353" s="18">
        <f t="shared" si="15"/>
        <v>1600.5089212280043</v>
      </c>
      <c r="H353" s="18">
        <f t="shared" si="16"/>
        <v>23412.655984603429</v>
      </c>
    </row>
    <row r="354" spans="2:8" x14ac:dyDescent="0.25">
      <c r="B354" s="23">
        <f>IF(347&lt;='DSCR Calculator'!$C$8*12,347,"")</f>
        <v>347</v>
      </c>
      <c r="C354" s="24">
        <f ca="1">IF($B354="","",EDATE(TODAY(),347))</f>
        <v>56821</v>
      </c>
      <c r="D354" s="18">
        <f t="shared" si="17"/>
        <v>23412.655984603429</v>
      </c>
      <c r="E354" s="18">
        <f>IF($B354="","",MIN('DSCR Calculator'!$C$23,D354+F354))</f>
        <v>1746.4190498453543</v>
      </c>
      <c r="F354" s="18">
        <f>IF($B354="","",D354*('DSCR Calculator'!$C$7/12))</f>
        <v>136.57382657685335</v>
      </c>
      <c r="G354" s="18">
        <f t="shared" si="15"/>
        <v>1609.8452232685008</v>
      </c>
      <c r="H354" s="18">
        <f t="shared" si="16"/>
        <v>21802.810761334928</v>
      </c>
    </row>
    <row r="355" spans="2:8" x14ac:dyDescent="0.25">
      <c r="B355" s="23">
        <f>IF(348&lt;='DSCR Calculator'!$C$8*12,348,"")</f>
        <v>348</v>
      </c>
      <c r="C355" s="24">
        <f ca="1">IF($B355="","",EDATE(TODAY(),348))</f>
        <v>56852</v>
      </c>
      <c r="D355" s="18">
        <f t="shared" si="17"/>
        <v>21802.810761334928</v>
      </c>
      <c r="E355" s="18">
        <f>IF($B355="","",MIN('DSCR Calculator'!$C$23,D355+F355))</f>
        <v>1746.4190498453543</v>
      </c>
      <c r="F355" s="18">
        <f>IF($B355="","",D355*('DSCR Calculator'!$C$7/12))</f>
        <v>127.18306277445375</v>
      </c>
      <c r="G355" s="18">
        <f t="shared" si="15"/>
        <v>1619.2359870709006</v>
      </c>
      <c r="H355" s="18">
        <f t="shared" si="16"/>
        <v>20183.574774264027</v>
      </c>
    </row>
    <row r="356" spans="2:8" x14ac:dyDescent="0.25">
      <c r="B356" s="23">
        <f>IF(349&lt;='DSCR Calculator'!$C$8*12,349,"")</f>
        <v>349</v>
      </c>
      <c r="C356" s="24">
        <f ca="1">IF($B356="","",EDATE(TODAY(),349))</f>
        <v>56883</v>
      </c>
      <c r="D356" s="18">
        <f t="shared" si="17"/>
        <v>20183.574774264027</v>
      </c>
      <c r="E356" s="18">
        <f>IF($B356="","",MIN('DSCR Calculator'!$C$23,D356+F356))</f>
        <v>1746.4190498453543</v>
      </c>
      <c r="F356" s="18">
        <f>IF($B356="","",D356*('DSCR Calculator'!$C$7/12))</f>
        <v>117.73751951654016</v>
      </c>
      <c r="G356" s="18">
        <f t="shared" si="15"/>
        <v>1628.681530328814</v>
      </c>
      <c r="H356" s="18">
        <f t="shared" si="16"/>
        <v>18554.893243935214</v>
      </c>
    </row>
    <row r="357" spans="2:8" x14ac:dyDescent="0.25">
      <c r="B357" s="23">
        <f>IF(350&lt;='DSCR Calculator'!$C$8*12,350,"")</f>
        <v>350</v>
      </c>
      <c r="C357" s="24">
        <f ca="1">IF($B357="","",EDATE(TODAY(),350))</f>
        <v>56913</v>
      </c>
      <c r="D357" s="18">
        <f t="shared" si="17"/>
        <v>18554.893243935214</v>
      </c>
      <c r="E357" s="18">
        <f>IF($B357="","",MIN('DSCR Calculator'!$C$23,D357+F357))</f>
        <v>1746.4190498453543</v>
      </c>
      <c r="F357" s="18">
        <f>IF($B357="","",D357*('DSCR Calculator'!$C$7/12))</f>
        <v>108.23687725628875</v>
      </c>
      <c r="G357" s="18">
        <f t="shared" si="15"/>
        <v>1638.1821725890654</v>
      </c>
      <c r="H357" s="18">
        <f t="shared" si="16"/>
        <v>16916.711071346148</v>
      </c>
    </row>
    <row r="358" spans="2:8" x14ac:dyDescent="0.25">
      <c r="B358" s="23">
        <f>IF(351&lt;='DSCR Calculator'!$C$8*12,351,"")</f>
        <v>351</v>
      </c>
      <c r="C358" s="24">
        <f ca="1">IF($B358="","",EDATE(TODAY(),351))</f>
        <v>56944</v>
      </c>
      <c r="D358" s="18">
        <f t="shared" si="17"/>
        <v>16916.711071346148</v>
      </c>
      <c r="E358" s="18">
        <f>IF($B358="","",MIN('DSCR Calculator'!$C$23,D358+F358))</f>
        <v>1746.4190498453543</v>
      </c>
      <c r="F358" s="18">
        <f>IF($B358="","",D358*('DSCR Calculator'!$C$7/12))</f>
        <v>98.680814582852534</v>
      </c>
      <c r="G358" s="18">
        <f t="shared" si="15"/>
        <v>1647.7382352625018</v>
      </c>
      <c r="H358" s="18">
        <f t="shared" si="16"/>
        <v>15268.972836083645</v>
      </c>
    </row>
    <row r="359" spans="2:8" x14ac:dyDescent="0.25">
      <c r="B359" s="23">
        <f>IF(352&lt;='DSCR Calculator'!$C$8*12,352,"")</f>
        <v>352</v>
      </c>
      <c r="C359" s="24">
        <f ca="1">IF($B359="","",EDATE(TODAY(),352))</f>
        <v>56974</v>
      </c>
      <c r="D359" s="18">
        <f t="shared" si="17"/>
        <v>15268.972836083645</v>
      </c>
      <c r="E359" s="18">
        <f>IF($B359="","",MIN('DSCR Calculator'!$C$23,D359+F359))</f>
        <v>1746.4190498453543</v>
      </c>
      <c r="F359" s="18">
        <f>IF($B359="","",D359*('DSCR Calculator'!$C$7/12))</f>
        <v>89.069008210487937</v>
      </c>
      <c r="G359" s="18">
        <f t="shared" si="15"/>
        <v>1657.3500416348663</v>
      </c>
      <c r="H359" s="18">
        <f t="shared" si="16"/>
        <v>13611.622794448778</v>
      </c>
    </row>
    <row r="360" spans="2:8" x14ac:dyDescent="0.25">
      <c r="B360" s="23">
        <f>IF(353&lt;='DSCR Calculator'!$C$8*12,353,"")</f>
        <v>353</v>
      </c>
      <c r="C360" s="24">
        <f ca="1">IF($B360="","",EDATE(TODAY(),353))</f>
        <v>57005</v>
      </c>
      <c r="D360" s="18">
        <f t="shared" si="17"/>
        <v>13611.622794448778</v>
      </c>
      <c r="E360" s="18">
        <f>IF($B360="","",MIN('DSCR Calculator'!$C$23,D360+F360))</f>
        <v>1746.4190498453543</v>
      </c>
      <c r="F360" s="18">
        <f>IF($B360="","",D360*('DSCR Calculator'!$C$7/12))</f>
        <v>79.401132967617883</v>
      </c>
      <c r="G360" s="18">
        <f t="shared" si="15"/>
        <v>1667.0179168777363</v>
      </c>
      <c r="H360" s="18">
        <f t="shared" si="16"/>
        <v>11944.604877571042</v>
      </c>
    </row>
    <row r="361" spans="2:8" x14ac:dyDescent="0.25">
      <c r="B361" s="23">
        <f>IF(354&lt;='DSCR Calculator'!$C$8*12,354,"")</f>
        <v>354</v>
      </c>
      <c r="C361" s="24">
        <f ca="1">IF($B361="","",EDATE(TODAY(),354))</f>
        <v>57036</v>
      </c>
      <c r="D361" s="18">
        <f t="shared" si="17"/>
        <v>11944.604877571042</v>
      </c>
      <c r="E361" s="18">
        <f>IF($B361="","",MIN('DSCR Calculator'!$C$23,D361+F361))</f>
        <v>1746.4190498453543</v>
      </c>
      <c r="F361" s="18">
        <f>IF($B361="","",D361*('DSCR Calculator'!$C$7/12))</f>
        <v>69.676861785831079</v>
      </c>
      <c r="G361" s="18">
        <f t="shared" si="15"/>
        <v>1676.7421880595232</v>
      </c>
      <c r="H361" s="18">
        <f t="shared" si="16"/>
        <v>10267.862689511519</v>
      </c>
    </row>
    <row r="362" spans="2:8" x14ac:dyDescent="0.25">
      <c r="B362" s="23">
        <f>IF(355&lt;='DSCR Calculator'!$C$8*12,355,"")</f>
        <v>355</v>
      </c>
      <c r="C362" s="24">
        <f ca="1">IF($B362="","",EDATE(TODAY(),355))</f>
        <v>57065</v>
      </c>
      <c r="D362" s="18">
        <f t="shared" si="17"/>
        <v>10267.862689511519</v>
      </c>
      <c r="E362" s="18">
        <f>IF($B362="","",MIN('DSCR Calculator'!$C$23,D362+F362))</f>
        <v>1746.4190498453543</v>
      </c>
      <c r="F362" s="18">
        <f>IF($B362="","",D362*('DSCR Calculator'!$C$7/12))</f>
        <v>59.895865688817196</v>
      </c>
      <c r="G362" s="18">
        <f t="shared" si="15"/>
        <v>1686.5231841565371</v>
      </c>
      <c r="H362" s="18">
        <f t="shared" si="16"/>
        <v>8581.339505354983</v>
      </c>
    </row>
    <row r="363" spans="2:8" x14ac:dyDescent="0.25">
      <c r="B363" s="23">
        <f>IF(356&lt;='DSCR Calculator'!$C$8*12,356,"")</f>
        <v>356</v>
      </c>
      <c r="C363" s="24">
        <f ca="1">IF($B363="","",EDATE(TODAY(),356))</f>
        <v>57096</v>
      </c>
      <c r="D363" s="18">
        <f t="shared" si="17"/>
        <v>8581.339505354983</v>
      </c>
      <c r="E363" s="18">
        <f>IF($B363="","",MIN('DSCR Calculator'!$C$23,D363+F363))</f>
        <v>1746.4190498453543</v>
      </c>
      <c r="F363" s="18">
        <f>IF($B363="","",D363*('DSCR Calculator'!$C$7/12))</f>
        <v>50.0578137812374</v>
      </c>
      <c r="G363" s="18">
        <f t="shared" si="15"/>
        <v>1696.3612360641168</v>
      </c>
      <c r="H363" s="18">
        <f t="shared" si="16"/>
        <v>6884.9782692908666</v>
      </c>
    </row>
    <row r="364" spans="2:8" x14ac:dyDescent="0.25">
      <c r="B364" s="23">
        <f>IF(357&lt;='DSCR Calculator'!$C$8*12,357,"")</f>
        <v>357</v>
      </c>
      <c r="C364" s="24">
        <f ca="1">IF($B364="","",EDATE(TODAY(),357))</f>
        <v>57126</v>
      </c>
      <c r="D364" s="18">
        <f t="shared" si="17"/>
        <v>6884.9782692908666</v>
      </c>
      <c r="E364" s="18">
        <f>IF($B364="","",MIN('DSCR Calculator'!$C$23,D364+F364))</f>
        <v>1746.4190498453543</v>
      </c>
      <c r="F364" s="18">
        <f>IF($B364="","",D364*('DSCR Calculator'!$C$7/12))</f>
        <v>40.162373237530055</v>
      </c>
      <c r="G364" s="18">
        <f t="shared" si="15"/>
        <v>1706.2566766078241</v>
      </c>
      <c r="H364" s="18">
        <f t="shared" si="16"/>
        <v>5178.7215926830422</v>
      </c>
    </row>
    <row r="365" spans="2:8" x14ac:dyDescent="0.25">
      <c r="B365" s="23">
        <f>IF(358&lt;='DSCR Calculator'!$C$8*12,358,"")</f>
        <v>358</v>
      </c>
      <c r="C365" s="24">
        <f ca="1">IF($B365="","",EDATE(TODAY(),358))</f>
        <v>57157</v>
      </c>
      <c r="D365" s="18">
        <f t="shared" si="17"/>
        <v>5178.7215926830422</v>
      </c>
      <c r="E365" s="18">
        <f>IF($B365="","",MIN('DSCR Calculator'!$C$23,D365+F365))</f>
        <v>1746.4190498453543</v>
      </c>
      <c r="F365" s="18">
        <f>IF($B365="","",D365*('DSCR Calculator'!$C$7/12))</f>
        <v>30.209209290651081</v>
      </c>
      <c r="G365" s="18">
        <f t="shared" si="15"/>
        <v>1716.2098405547031</v>
      </c>
      <c r="H365" s="18">
        <f t="shared" si="16"/>
        <v>3462.5117521283391</v>
      </c>
    </row>
    <row r="366" spans="2:8" x14ac:dyDescent="0.25">
      <c r="B366" s="23">
        <f>IF(359&lt;='DSCR Calculator'!$C$8*12,359,"")</f>
        <v>359</v>
      </c>
      <c r="C366" s="24">
        <f ca="1">IF($B366="","",EDATE(TODAY(),359))</f>
        <v>57187</v>
      </c>
      <c r="D366" s="18">
        <f t="shared" si="17"/>
        <v>3462.5117521283391</v>
      </c>
      <c r="E366" s="18">
        <f>IF($B366="","",MIN('DSCR Calculator'!$C$23,D366+F366))</f>
        <v>1746.4190498453543</v>
      </c>
      <c r="F366" s="18">
        <f>IF($B366="","",D366*('DSCR Calculator'!$C$7/12))</f>
        <v>20.197985220748645</v>
      </c>
      <c r="G366" s="18">
        <f t="shared" si="15"/>
        <v>1726.2210646246056</v>
      </c>
      <c r="H366" s="18">
        <f t="shared" si="16"/>
        <v>1736.2906875037336</v>
      </c>
    </row>
    <row r="367" spans="2:8" x14ac:dyDescent="0.25">
      <c r="B367" s="23">
        <f>IF(360&lt;='DSCR Calculator'!$C$8*12,360,"")</f>
        <v>360</v>
      </c>
      <c r="C367" s="24">
        <f ca="1">IF($B367="","",EDATE(TODAY(),360))</f>
        <v>57218</v>
      </c>
      <c r="D367" s="18">
        <f t="shared" si="17"/>
        <v>1736.2906875037336</v>
      </c>
      <c r="E367" s="18">
        <f>IF($B367="","",MIN('DSCR Calculator'!$C$23,D367+F367))</f>
        <v>1746.4190498453543</v>
      </c>
      <c r="F367" s="18">
        <f>IF($B367="","",D367*('DSCR Calculator'!$C$7/12))</f>
        <v>10.12836234377178</v>
      </c>
      <c r="G367" s="18">
        <f t="shared" si="15"/>
        <v>1736.2906875015824</v>
      </c>
      <c r="H367" s="18">
        <f t="shared" si="16"/>
        <v>2.1511823433684185E-9</v>
      </c>
    </row>
  </sheetData>
  <mergeCells count="2">
    <mergeCell ref="E1:H1"/>
    <mergeCell ref="B2:H2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DSCR Calculator</vt:lpstr>
      <vt:lpstr>Amortization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Elizabeth</cp:lastModifiedBy>
  <cp:revision>0</cp:revision>
  <dcterms:created xsi:type="dcterms:W3CDTF">2026-08-26T13:12:15Z</dcterms:created>
  <dcterms:modified xsi:type="dcterms:W3CDTF">2026-08-26T14:01:08Z</dcterms:modified>
  <dc:language>en-US</dc:language>
</cp:coreProperties>
</file>